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ndp-my.sharepoint.com/personal/ahmad_diab_undp_org/Documents/UNDP/Misc/Carbon Calculator/Final/"/>
    </mc:Choice>
  </mc:AlternateContent>
  <xr:revisionPtr revIDLastSave="594" documentId="13_ncr:1_{A8A4856C-77D7-40CB-A0A0-3015A07D629E}" xr6:coauthVersionLast="47" xr6:coauthVersionMax="47" xr10:uidLastSave="{63DB081B-667A-402A-BF02-BE26EC16D3C3}"/>
  <bookViews>
    <workbookView xWindow="-108" yWindow="-108" windowWidth="23256" windowHeight="12456" xr2:uid="{0FC39340-2007-4675-80DC-0477D033A55C}"/>
  </bookViews>
  <sheets>
    <sheet name="Company_Year" sheetId="1" r:id="rId1"/>
    <sheet name="Results at a Glance" sheetId="2" r:id="rId2"/>
  </sheets>
  <externalReferences>
    <externalReference r:id="rId3"/>
  </externalReferences>
  <definedNames>
    <definedName name="_xlchart.v1.0" hidden="1">Company_Year!$F$23:$F$25</definedName>
    <definedName name="_xlchart.v1.1" hidden="1">Company_Year!$G$22</definedName>
    <definedName name="_xlchart.v1.2" hidden="1">Company_Year!$G$23:$G$25</definedName>
    <definedName name="_xlchart.v1.3" hidden="1">Company_Year!$F$23:$F$25</definedName>
    <definedName name="_xlchart.v1.4" hidden="1">Company_Year!$G$22</definedName>
    <definedName name="_xlchart.v1.5" hidden="1">Company_Year!$G$23:$G$25</definedName>
    <definedName name="Actions" localSheetId="0">Company_Year!$AF$4:$AF$33</definedName>
    <definedName name="Actions">[1]Company_Year!$AM$4:$AM$29</definedName>
    <definedName name="Factors" localSheetId="0">Company_Year!$P$17:$P$21</definedName>
    <definedName name="Factors">[1]Company_Year!$AF$24:$AF$27</definedName>
    <definedName name="_xlnm.Print_Area" localSheetId="0">Company_Year!$A$1:$N$47</definedName>
    <definedName name="_xlnm.Print_Area" localSheetId="1">'Results at a Glance'!$A$1:$N$65</definedName>
    <definedName name="SDGs" localSheetId="0">Company_Year!#REF!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8" i="1" l="1"/>
  <c r="E39" i="1"/>
  <c r="J39" i="1" s="1"/>
  <c r="G43" i="1"/>
  <c r="E42" i="1"/>
  <c r="L42" i="1" s="1"/>
  <c r="L38" i="1"/>
  <c r="G39" i="1"/>
  <c r="E40" i="1"/>
  <c r="K40" i="1" s="1"/>
  <c r="G35" i="1"/>
  <c r="E37" i="1"/>
  <c r="J38" i="1"/>
  <c r="G38" i="1"/>
  <c r="G30" i="1"/>
  <c r="J40" i="2"/>
  <c r="X23" i="2"/>
  <c r="W23" i="2"/>
  <c r="U18" i="2"/>
  <c r="U7" i="2"/>
  <c r="I3" i="2"/>
  <c r="C3" i="2"/>
  <c r="R14" i="2" s="1"/>
  <c r="V22" i="2" s="1"/>
  <c r="Y22" i="2" s="1"/>
  <c r="I2" i="2"/>
  <c r="E46" i="1"/>
  <c r="G45" i="1"/>
  <c r="E45" i="1"/>
  <c r="G44" i="1"/>
  <c r="E44" i="1"/>
  <c r="E43" i="1"/>
  <c r="L43" i="1" s="1"/>
  <c r="G42" i="1"/>
  <c r="G41" i="1"/>
  <c r="E41" i="1"/>
  <c r="G40" i="1"/>
  <c r="Z39" i="1"/>
  <c r="X37" i="1"/>
  <c r="G37" i="1"/>
  <c r="X36" i="1"/>
  <c r="G36" i="1"/>
  <c r="E36" i="1"/>
  <c r="J36" i="1" s="1"/>
  <c r="E35" i="1"/>
  <c r="Y34" i="1"/>
  <c r="G34" i="1"/>
  <c r="E34" i="1"/>
  <c r="Y33" i="1"/>
  <c r="G33" i="1"/>
  <c r="E33" i="1"/>
  <c r="G32" i="1"/>
  <c r="E32" i="1"/>
  <c r="Y31" i="1"/>
  <c r="G31" i="1"/>
  <c r="E31" i="1"/>
  <c r="Y30" i="1"/>
  <c r="E30" i="1"/>
  <c r="Y28" i="1"/>
  <c r="Y27" i="1"/>
  <c r="N26" i="1"/>
  <c r="Z25" i="1"/>
  <c r="Y25" i="1" s="1"/>
  <c r="N25" i="1"/>
  <c r="U24" i="2" s="1"/>
  <c r="F25" i="1"/>
  <c r="Z24" i="1"/>
  <c r="Y24" i="1" s="1"/>
  <c r="N24" i="1"/>
  <c r="F24" i="1"/>
  <c r="Z23" i="1"/>
  <c r="Y23" i="1"/>
  <c r="N23" i="1"/>
  <c r="U23" i="2" s="1"/>
  <c r="F23" i="1"/>
  <c r="Z22" i="1"/>
  <c r="Y22" i="1"/>
  <c r="N22" i="1"/>
  <c r="F22" i="1"/>
  <c r="N21" i="1"/>
  <c r="T18" i="2" s="1"/>
  <c r="M21" i="1"/>
  <c r="B20" i="1"/>
  <c r="G14" i="1"/>
  <c r="F14" i="1"/>
  <c r="C14" i="1"/>
  <c r="AA13" i="1"/>
  <c r="Z13" i="1"/>
  <c r="Y13" i="1"/>
  <c r="S13" i="1"/>
  <c r="AB13" i="1" s="1"/>
  <c r="AB37" i="1" s="1"/>
  <c r="R13" i="1"/>
  <c r="Y37" i="1" s="1"/>
  <c r="AA12" i="1"/>
  <c r="Z12" i="1"/>
  <c r="Y12" i="1"/>
  <c r="S12" i="1"/>
  <c r="R12" i="1"/>
  <c r="Y36" i="1" s="1"/>
  <c r="AA11" i="1"/>
  <c r="Z11" i="1"/>
  <c r="Y11" i="1"/>
  <c r="S11" i="1"/>
  <c r="T11" i="1" s="1"/>
  <c r="Z35" i="1" s="1"/>
  <c r="R11" i="1"/>
  <c r="Y10" i="1"/>
  <c r="AB10" i="1" s="1"/>
  <c r="X10" i="1"/>
  <c r="AA10" i="1" s="1"/>
  <c r="AD10" i="1" s="1"/>
  <c r="W10" i="1"/>
  <c r="Z10" i="1" s="1"/>
  <c r="AC10" i="1" s="1"/>
  <c r="T10" i="1"/>
  <c r="Z31" i="1" s="1"/>
  <c r="AA9" i="1"/>
  <c r="Z9" i="1"/>
  <c r="Y9" i="1"/>
  <c r="S9" i="1"/>
  <c r="T9" i="1" s="1"/>
  <c r="AA8" i="1"/>
  <c r="Z8" i="1"/>
  <c r="Y8" i="1"/>
  <c r="S8" i="1"/>
  <c r="T8" i="1" s="1"/>
  <c r="R8" i="1"/>
  <c r="Y26" i="1" s="1"/>
  <c r="AA7" i="1"/>
  <c r="AD7" i="1" s="1"/>
  <c r="Z7" i="1"/>
  <c r="AC7" i="1" s="1"/>
  <c r="Y7" i="1"/>
  <c r="AB7" i="1" s="1"/>
  <c r="J7" i="1"/>
  <c r="AA6" i="1"/>
  <c r="Z6" i="1"/>
  <c r="Y6" i="1"/>
  <c r="AD8" i="1" l="1"/>
  <c r="AD29" i="1" s="1"/>
  <c r="AC9" i="1"/>
  <c r="AC33" i="1" s="1"/>
  <c r="AD9" i="1"/>
  <c r="K39" i="1"/>
  <c r="AB12" i="1"/>
  <c r="AC12" i="1"/>
  <c r="AC36" i="1" s="1"/>
  <c r="AC19" i="1" s="1"/>
  <c r="AD12" i="1"/>
  <c r="AD36" i="1" s="1"/>
  <c r="AC8" i="1"/>
  <c r="AC29" i="1" s="1"/>
  <c r="AD27" i="1"/>
  <c r="AD33" i="1"/>
  <c r="AC13" i="1"/>
  <c r="AC37" i="1" s="1"/>
  <c r="AD13" i="1"/>
  <c r="AD37" i="1" s="1"/>
  <c r="R20" i="1"/>
  <c r="Y29" i="1"/>
  <c r="Y32" i="1"/>
  <c r="AB9" i="1"/>
  <c r="AB33" i="1" s="1"/>
  <c r="Z34" i="1"/>
  <c r="AB11" i="1"/>
  <c r="AC11" i="1"/>
  <c r="U22" i="1" s="1"/>
  <c r="AD11" i="1"/>
  <c r="V22" i="1" s="1"/>
  <c r="AB8" i="1"/>
  <c r="T19" i="1" s="1"/>
  <c r="Z17" i="1"/>
  <c r="K46" i="1"/>
  <c r="Q46" i="1"/>
  <c r="K44" i="1"/>
  <c r="K42" i="1"/>
  <c r="K36" i="1"/>
  <c r="K34" i="1"/>
  <c r="J34" i="1"/>
  <c r="K33" i="1"/>
  <c r="J33" i="1"/>
  <c r="T19" i="2"/>
  <c r="K20" i="1"/>
  <c r="AB36" i="1"/>
  <c r="AB19" i="1" s="1"/>
  <c r="N17" i="1"/>
  <c r="Z32" i="1"/>
  <c r="R19" i="1"/>
  <c r="R21" i="1" s="1"/>
  <c r="Z26" i="1"/>
  <c r="Z29" i="1"/>
  <c r="AC31" i="1"/>
  <c r="AC28" i="1"/>
  <c r="AC34" i="1"/>
  <c r="Z30" i="1"/>
  <c r="Z33" i="1"/>
  <c r="Z27" i="1"/>
  <c r="AD34" i="1"/>
  <c r="AD31" i="1"/>
  <c r="AD28" i="1"/>
  <c r="AC26" i="1"/>
  <c r="AB28" i="1"/>
  <c r="AB31" i="1"/>
  <c r="AB34" i="1"/>
  <c r="Z28" i="1"/>
  <c r="J30" i="1"/>
  <c r="AD30" i="1"/>
  <c r="Y35" i="1"/>
  <c r="J37" i="1"/>
  <c r="K30" i="1"/>
  <c r="A42" i="2"/>
  <c r="S6" i="1"/>
  <c r="U20" i="1"/>
  <c r="K35" i="1"/>
  <c r="L41" i="1"/>
  <c r="L45" i="1"/>
  <c r="K41" i="1"/>
  <c r="I29" i="2"/>
  <c r="V20" i="1"/>
  <c r="AB22" i="1"/>
  <c r="J32" i="1"/>
  <c r="J31" i="1"/>
  <c r="K32" i="1"/>
  <c r="K37" i="1"/>
  <c r="K31" i="1"/>
  <c r="K43" i="1"/>
  <c r="Q14" i="2"/>
  <c r="U22" i="2" s="1"/>
  <c r="X22" i="2" s="1"/>
  <c r="J35" i="1"/>
  <c r="K38" i="1"/>
  <c r="K45" i="1"/>
  <c r="AD32" i="1" l="1"/>
  <c r="AC35" i="1"/>
  <c r="AC44" i="1" s="1"/>
  <c r="AH44" i="1" s="1"/>
  <c r="V19" i="1"/>
  <c r="V21" i="1"/>
  <c r="AD26" i="1"/>
  <c r="AB30" i="1"/>
  <c r="T20" i="1"/>
  <c r="AD19" i="1"/>
  <c r="AB32" i="1"/>
  <c r="N13" i="1"/>
  <c r="AB26" i="1"/>
  <c r="J17" i="1"/>
  <c r="AA35" i="1" s="1"/>
  <c r="N12" i="1"/>
  <c r="AD43" i="1"/>
  <c r="AI43" i="1" s="1"/>
  <c r="AB29" i="1"/>
  <c r="AB42" i="1" s="1"/>
  <c r="AG42" i="1" s="1"/>
  <c r="N14" i="1"/>
  <c r="AA32" i="1" s="1"/>
  <c r="AA43" i="1" s="1"/>
  <c r="AB27" i="1"/>
  <c r="AC30" i="1"/>
  <c r="L33" i="1"/>
  <c r="M33" i="1" s="1"/>
  <c r="U19" i="1"/>
  <c r="Q31" i="1" s="1"/>
  <c r="AC32" i="1"/>
  <c r="AC43" i="1" s="1"/>
  <c r="U21" i="1"/>
  <c r="AC27" i="1"/>
  <c r="N11" i="1"/>
  <c r="AA26" i="1" s="1"/>
  <c r="U12" i="2" s="1"/>
  <c r="T22" i="1"/>
  <c r="AB35" i="1"/>
  <c r="AB44" i="1" s="1"/>
  <c r="T21" i="1"/>
  <c r="AD35" i="1"/>
  <c r="AD44" i="1" s="1"/>
  <c r="AI44" i="1" s="1"/>
  <c r="L37" i="1"/>
  <c r="M37" i="1"/>
  <c r="M38" i="1"/>
  <c r="AD42" i="1"/>
  <c r="AI42" i="1" s="1"/>
  <c r="P45" i="1"/>
  <c r="L39" i="1"/>
  <c r="M39" i="1" s="1"/>
  <c r="R40" i="1"/>
  <c r="L40" i="1"/>
  <c r="M40" i="1" s="1"/>
  <c r="P46" i="1"/>
  <c r="Q41" i="1"/>
  <c r="P41" i="1"/>
  <c r="Q42" i="1"/>
  <c r="P42" i="1"/>
  <c r="M43" i="1"/>
  <c r="P43" i="1"/>
  <c r="R44" i="1"/>
  <c r="P44" i="1"/>
  <c r="Q44" i="1"/>
  <c r="L44" i="1"/>
  <c r="M44" i="1" s="1"/>
  <c r="R42" i="1"/>
  <c r="M42" i="1"/>
  <c r="R46" i="1"/>
  <c r="L46" i="1"/>
  <c r="M46" i="1" s="1"/>
  <c r="L36" i="1"/>
  <c r="M36" i="1" s="1"/>
  <c r="R22" i="1"/>
  <c r="AD6" i="1"/>
  <c r="AC6" i="1"/>
  <c r="R43" i="1"/>
  <c r="P40" i="1"/>
  <c r="R41" i="1"/>
  <c r="M41" i="1"/>
  <c r="R31" i="1"/>
  <c r="Z18" i="1"/>
  <c r="U8" i="2" s="1"/>
  <c r="AB6" i="1"/>
  <c r="R45" i="1"/>
  <c r="M45" i="1"/>
  <c r="Q43" i="1"/>
  <c r="P31" i="1"/>
  <c r="L30" i="1"/>
  <c r="M30" i="1" s="1"/>
  <c r="Q40" i="1"/>
  <c r="AB43" i="1"/>
  <c r="L31" i="1"/>
  <c r="M31" i="1" s="1"/>
  <c r="Q45" i="1"/>
  <c r="L32" i="1"/>
  <c r="M32" i="1" s="1"/>
  <c r="L35" i="1"/>
  <c r="M35" i="1" s="1"/>
  <c r="L34" i="1"/>
  <c r="M34" i="1" s="1"/>
  <c r="AC42" i="1"/>
  <c r="M22" i="1"/>
  <c r="L38" i="2" s="1"/>
  <c r="AA36" i="1"/>
  <c r="D11" i="2" s="1"/>
  <c r="AG44" i="1" l="1"/>
  <c r="AC18" i="1"/>
  <c r="AA29" i="1"/>
  <c r="AH43" i="1"/>
  <c r="AH42" i="1"/>
  <c r="AB18" i="1"/>
  <c r="AG43" i="1"/>
  <c r="D13" i="2"/>
  <c r="AC5" i="1"/>
  <c r="AC25" i="1"/>
  <c r="AC24" i="1"/>
  <c r="AC23" i="1"/>
  <c r="AD5" i="1"/>
  <c r="AD22" i="1" s="1"/>
  <c r="AD24" i="1"/>
  <c r="AD25" i="1"/>
  <c r="AD23" i="1"/>
  <c r="U13" i="2"/>
  <c r="AA42" i="1"/>
  <c r="AA44" i="1"/>
  <c r="U15" i="2"/>
  <c r="AA18" i="1"/>
  <c r="N6" i="1"/>
  <c r="AA25" i="1" s="1"/>
  <c r="J6" i="1"/>
  <c r="AA23" i="1" s="1"/>
  <c r="N5" i="1"/>
  <c r="AA24" i="1" s="1"/>
  <c r="AB25" i="1"/>
  <c r="AB23" i="1"/>
  <c r="AB24" i="1"/>
  <c r="AA19" i="1"/>
  <c r="U14" i="2"/>
  <c r="AB38" i="1" l="1"/>
  <c r="C22" i="1" s="1"/>
  <c r="T18" i="1"/>
  <c r="AB17" i="1"/>
  <c r="AB41" i="1"/>
  <c r="AD38" i="1"/>
  <c r="V18" i="1"/>
  <c r="AD41" i="1"/>
  <c r="AD17" i="1"/>
  <c r="J5" i="1"/>
  <c r="AC22" i="1"/>
  <c r="C24" i="1" l="1"/>
  <c r="AD39" i="1"/>
  <c r="AD18" i="1" s="1"/>
  <c r="AA22" i="1"/>
  <c r="AA38" i="1" s="1"/>
  <c r="AI41" i="1"/>
  <c r="R36" i="1"/>
  <c r="R33" i="1"/>
  <c r="R34" i="1"/>
  <c r="R30" i="1"/>
  <c r="R35" i="1"/>
  <c r="R32" i="1"/>
  <c r="AG41" i="1"/>
  <c r="P36" i="1"/>
  <c r="P34" i="1"/>
  <c r="P33" i="1"/>
  <c r="P30" i="1"/>
  <c r="P35" i="1"/>
  <c r="P32" i="1"/>
  <c r="U18" i="1"/>
  <c r="AC41" i="1"/>
  <c r="AC38" i="1"/>
  <c r="C23" i="1" s="1"/>
  <c r="AC17" i="1"/>
  <c r="C25" i="1" l="1"/>
  <c r="AL13" i="1" s="1"/>
  <c r="AH13" i="1" s="1"/>
  <c r="N38" i="1" s="1"/>
  <c r="Y23" i="2"/>
  <c r="L40" i="2" s="1"/>
  <c r="D9" i="2"/>
  <c r="D15" i="2" s="1"/>
  <c r="U11" i="2"/>
  <c r="S18" i="1"/>
  <c r="AA17" i="1"/>
  <c r="AA41" i="1"/>
  <c r="Q36" i="1"/>
  <c r="AH41" i="1"/>
  <c r="Q34" i="1"/>
  <c r="Q33" i="1"/>
  <c r="Q30" i="1"/>
  <c r="Q35" i="1"/>
  <c r="Q32" i="1"/>
  <c r="N36" i="1" l="1"/>
  <c r="N30" i="1"/>
  <c r="M23" i="1"/>
  <c r="V23" i="2" s="1"/>
  <c r="L34" i="2" s="1"/>
  <c r="U19" i="2"/>
  <c r="M25" i="1"/>
  <c r="V24" i="2" s="1"/>
  <c r="L36" i="2" s="1"/>
  <c r="N34" i="1"/>
  <c r="C26" i="1"/>
  <c r="L32" i="2" s="1"/>
  <c r="AL12" i="1"/>
  <c r="AH12" i="1" s="1"/>
  <c r="AF41" i="1"/>
  <c r="N33" i="1"/>
  <c r="N35" i="1"/>
  <c r="N32" i="1"/>
  <c r="W18" i="1"/>
  <c r="AA20" i="1"/>
  <c r="R38" i="1"/>
  <c r="Q38" i="1"/>
  <c r="P38" i="1"/>
  <c r="S22" i="1"/>
  <c r="S19" i="1"/>
  <c r="S21" i="1"/>
  <c r="N37" i="1" l="1"/>
  <c r="R37" i="1" s="1"/>
  <c r="N39" i="1"/>
  <c r="AF43" i="1"/>
  <c r="W21" i="1"/>
  <c r="G24" i="1"/>
  <c r="G25" i="1"/>
  <c r="AF44" i="1"/>
  <c r="W22" i="1"/>
  <c r="AF42" i="1"/>
  <c r="N31" i="1"/>
  <c r="W19" i="1"/>
  <c r="G23" i="1"/>
  <c r="Q37" i="1" l="1"/>
  <c r="P37" i="1"/>
  <c r="Q39" i="1"/>
  <c r="D23" i="1" s="1"/>
  <c r="P39" i="1"/>
  <c r="R39" i="1"/>
  <c r="D24" i="1" s="1"/>
  <c r="D22" i="1" l="1"/>
  <c r="D25" i="1"/>
  <c r="U29" i="2" s="1"/>
  <c r="U30" i="2" s="1"/>
  <c r="M26" i="1"/>
  <c r="E70" i="2"/>
  <c r="D70" i="2"/>
  <c r="C68" i="2"/>
  <c r="E65" i="2"/>
  <c r="D65" i="2"/>
  <c r="C63" i="2"/>
  <c r="C73" i="2" l="1"/>
  <c r="M24" i="1"/>
  <c r="V30" i="2"/>
  <c r="V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Nader Hajj Shehadeh</author>
  </authors>
  <commentList>
    <comment ref="E3" authorId="0" shapeId="0" xr:uid="{48B6FAE5-07D2-4B69-A779-7642AF7CEE41}">
      <text>
        <r>
          <rPr>
            <sz val="8"/>
            <color indexed="81"/>
            <rFont val="Tahoma"/>
            <family val="2"/>
          </rPr>
          <t>The year of which data is collected (not year of submission)</t>
        </r>
      </text>
    </comment>
    <comment ref="L4" authorId="0" shapeId="0" xr:uid="{8C31D2E9-B78F-4214-829E-A0C1A47FCAB7}">
      <text>
        <r>
          <rPr>
            <sz val="8"/>
            <color indexed="81"/>
            <rFont val="Tahoma"/>
            <family val="2"/>
          </rPr>
          <t>Subscription capacity (Circuit breaker rating)</t>
        </r>
      </text>
    </comment>
    <comment ref="M4" authorId="0" shapeId="0" xr:uid="{EDC9985B-18CD-46A8-B536-6E41879725A7}">
      <text>
        <r>
          <rPr>
            <sz val="8"/>
            <color indexed="81"/>
            <rFont val="Tahoma"/>
            <family val="2"/>
          </rPr>
          <t>Estimate based on (average cut-off hours per day) x 365</t>
        </r>
      </text>
    </comment>
    <comment ref="I5" authorId="0" shapeId="0" xr:uid="{9EAD4DAB-0620-4CA2-A523-9E95A9B41580}">
      <text>
        <r>
          <rPr>
            <sz val="9"/>
            <color indexed="81"/>
            <rFont val="Tahoma"/>
            <family val="2"/>
          </rPr>
          <t xml:space="preserve">Enter kWh consumption from EDL bills or from EDL meter (current - previous) </t>
        </r>
      </text>
    </comment>
    <comment ref="I6" authorId="0" shapeId="0" xr:uid="{C1E88BBC-8C15-4DB9-B1CF-B35FB66F82E8}">
      <text>
        <r>
          <rPr>
            <sz val="9"/>
            <color indexed="81"/>
            <rFont val="Tahoma"/>
            <family val="2"/>
          </rPr>
          <t xml:space="preserve">Enter kWh consumption from generator subscription bills or from  meter (current - previous) </t>
        </r>
      </text>
    </comment>
    <comment ref="B7" authorId="0" shapeId="0" xr:uid="{8A026460-F5FE-40A0-A703-9D6110EBAC11}">
      <text>
        <r>
          <rPr>
            <sz val="8"/>
            <color indexed="81"/>
            <rFont val="Tahoma"/>
            <family val="2"/>
          </rPr>
          <t>The name of the person with authorization and responsibility to ensure data is accurate.
The person should be a certified accounting auditor (in-house or third party)</t>
        </r>
      </text>
    </comment>
    <comment ref="H7" authorId="0" shapeId="0" xr:uid="{ACCC083B-27B3-41F6-8D5F-A54713EB9E9A}">
      <text>
        <r>
          <rPr>
            <sz val="9"/>
            <color indexed="81"/>
            <rFont val="Tahoma"/>
            <family val="2"/>
          </rPr>
          <t>Include only renewable electricity generated on-site (e.g., solar PV).
Do not include solar thermal or non-electric systems.</t>
        </r>
      </text>
    </comment>
    <comment ref="I7" authorId="0" shapeId="0" xr:uid="{825DFA99-85B9-41A5-86F7-A38A1C4DD56D}">
      <text>
        <r>
          <rPr>
            <sz val="9"/>
            <color indexed="81"/>
            <rFont val="Tahoma"/>
            <family val="2"/>
          </rPr>
          <t>Enter the total kWh generated by your installed PV system during the reporting year, even if the system was installed in a previous year.</t>
        </r>
      </text>
    </comment>
    <comment ref="B10" authorId="0" shapeId="0" xr:uid="{A1DE305A-ECEE-42CB-8277-DA713065EF39}">
      <text>
        <r>
          <rPr>
            <sz val="8"/>
            <color indexed="81"/>
            <rFont val="Tahoma"/>
            <family val="2"/>
          </rPr>
          <t>To be signed and dated in hard ink/wet signature</t>
        </r>
      </text>
    </comment>
    <comment ref="B13" authorId="0" shapeId="0" xr:uid="{08D946AE-D5E3-42B9-B0E9-2F709C035F83}">
      <text>
        <r>
          <rPr>
            <sz val="8"/>
            <color indexed="81"/>
            <rFont val="Tahoma"/>
            <family val="2"/>
          </rPr>
          <t>Insert results from previous reported year.
This is optional to allow comparing progress.</t>
        </r>
      </text>
    </comment>
    <comment ref="C15" authorId="0" shapeId="0" xr:uid="{8C6301BE-737A-45F1-8F4A-28A9E7E36FA2}">
      <text>
        <r>
          <rPr>
            <sz val="9"/>
            <color indexed="81"/>
            <rFont val="Tahoma"/>
            <family val="2"/>
          </rPr>
          <t>If available, enter data from the calculator report of previous year to compare your carbon footprint</t>
        </r>
      </text>
    </comment>
    <comment ref="D15" authorId="0" shapeId="0" xr:uid="{994C261D-9D7E-4F9A-BCAE-6D649EA3AA6B}">
      <text>
        <r>
          <rPr>
            <sz val="8"/>
            <color indexed="81"/>
            <rFont val="Tahoma"/>
            <family val="2"/>
          </rPr>
          <t>Total number of employees using the facility (excluding full remote workers)</t>
        </r>
      </text>
    </comment>
    <comment ref="F15" authorId="0" shapeId="0" xr:uid="{B372BEEF-9891-4329-9CEF-4EECBF405158}">
      <text>
        <r>
          <rPr>
            <sz val="9"/>
            <color indexed="81"/>
            <rFont val="Tahoma"/>
            <family val="2"/>
          </rPr>
          <t>If available, enter data from previous year to compare your carbon footprint</t>
        </r>
      </text>
    </comment>
    <comment ref="C16" authorId="0" shapeId="0" xr:uid="{BBA61297-3F69-4602-B543-45627F150CAB}">
      <text>
        <r>
          <rPr>
            <sz val="9"/>
            <color indexed="81"/>
            <rFont val="Tahoma"/>
            <family val="2"/>
          </rPr>
          <t>If available, enter data from the calculator report of previous year to compare your carbon footprint</t>
        </r>
      </text>
    </comment>
    <comment ref="D16" authorId="0" shapeId="0" xr:uid="{DD9CEB09-CF08-45E2-98CC-72BE393C23A2}">
      <text>
        <r>
          <rPr>
            <sz val="8"/>
            <color indexed="81"/>
            <rFont val="Tahoma"/>
            <family val="2"/>
          </rPr>
          <t>Total area included in this report (i.e. included in the bill)</t>
        </r>
      </text>
    </comment>
    <comment ref="F16" authorId="0" shapeId="0" xr:uid="{8BCAA30C-FF66-4184-8EBC-62EE24E5FF45}">
      <text>
        <r>
          <rPr>
            <sz val="9"/>
            <color indexed="81"/>
            <rFont val="Tahoma"/>
            <family val="2"/>
          </rPr>
          <t>If available, enter data from previous year to compare your carbon footprint</t>
        </r>
      </text>
    </comment>
    <comment ref="H16" authorId="0" shapeId="0" xr:uid="{3BD54455-7534-40EF-A270-8AC59AC3889F}">
      <text>
        <r>
          <rPr>
            <sz val="8"/>
            <color indexed="81"/>
            <rFont val="Tahoma"/>
            <family val="2"/>
          </rPr>
          <t>Propane (LPG) or Butane in kg. 
- For LPG: 1 liter = 0.51 kg
- For Butane: 1 liter = 0.58 kg</t>
        </r>
      </text>
    </comment>
    <comment ref="C17" authorId="0" shapeId="0" xr:uid="{8E5E82BB-EC86-4C9B-B3C4-F2DAEAEE6409}">
      <text>
        <r>
          <rPr>
            <sz val="9"/>
            <color indexed="81"/>
            <rFont val="Tahoma"/>
            <family val="2"/>
          </rPr>
          <t>If available, enter data from the calculator report of previous year to compare your carbon footprint</t>
        </r>
      </text>
    </comment>
    <comment ref="D17" authorId="0" shapeId="0" xr:uid="{AF3DD05E-A5E8-4219-A957-87CD0B95E33A}">
      <text>
        <r>
          <rPr>
            <sz val="8"/>
            <color indexed="81"/>
            <rFont val="Tahoma"/>
            <family val="2"/>
          </rPr>
          <t>Distance covered by fleet dedicated for activities related to the business/organization.</t>
        </r>
      </text>
    </comment>
    <comment ref="F17" authorId="0" shapeId="0" xr:uid="{D6F2D1E2-19C5-45D1-A56E-FE82BA1F19E2}">
      <text>
        <r>
          <rPr>
            <sz val="9"/>
            <color indexed="81"/>
            <rFont val="Tahoma"/>
            <family val="2"/>
          </rPr>
          <t>If available, enter data from previous year to compare your carbon footprint</t>
        </r>
      </text>
    </comment>
    <comment ref="B26" authorId="0" shapeId="0" xr:uid="{75E52404-14D1-4866-B1C0-0EEFD79F2C69}">
      <text>
        <r>
          <rPr>
            <sz val="8"/>
            <color indexed="81"/>
            <rFont val="Tahoma"/>
            <family val="2"/>
          </rPr>
          <t>Excluding Transport and Cooking</t>
        </r>
      </text>
    </comment>
    <comment ref="B29" authorId="0" shapeId="0" xr:uid="{B782E63F-791A-4CD7-9259-3FD9D54814EA}">
      <text>
        <r>
          <rPr>
            <sz val="8"/>
            <color indexed="81"/>
            <rFont val="Tahoma"/>
            <family val="2"/>
          </rPr>
          <t>Use dropdown list of pre-defined mitigation actions, or add new ones.
Add more as seen necessary</t>
        </r>
      </text>
    </comment>
    <comment ref="C29" authorId="0" shapeId="0" xr:uid="{BE267A9B-FC56-4BBF-8FAF-944EDBED2678}">
      <text>
        <r>
          <rPr>
            <sz val="8"/>
            <color indexed="81"/>
            <rFont val="Tahoma"/>
            <family val="2"/>
          </rPr>
          <t>Brief description of the measure/mitigation action implemented</t>
        </r>
      </text>
    </comment>
    <comment ref="F29" authorId="0" shapeId="0" xr:uid="{6120D423-C79D-4AF6-AB8E-DADB5A119F46}">
      <text>
        <r>
          <rPr>
            <sz val="8"/>
            <color indexed="81"/>
            <rFont val="Tahoma"/>
            <family val="2"/>
          </rPr>
          <t>Measure capacity or power rating based on the unit provided.</t>
        </r>
      </text>
    </comment>
    <comment ref="H29" authorId="0" shapeId="0" xr:uid="{9BC530DC-91A3-4A68-8C04-EDE399D6EF3F}">
      <text>
        <r>
          <rPr>
            <sz val="8"/>
            <color indexed="81"/>
            <rFont val="Tahoma"/>
            <family val="2"/>
          </rPr>
          <t>Total estimated budget in US Dollars</t>
        </r>
      </text>
    </comment>
    <comment ref="I29" authorId="0" shapeId="0" xr:uid="{1A0E0D7C-51AA-4C7D-81DA-71386D4CB2F4}">
      <text>
        <r>
          <rPr>
            <sz val="8"/>
            <color indexed="81"/>
            <rFont val="Tahoma"/>
            <family val="2"/>
          </rPr>
          <t>Source funding. E.g. Self-finance, UNDP, USAID…
If multiple funders, include percentage (ex. 50% self, 50% UNDP)</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<sst xmlns="http://schemas.openxmlformats.org/spreadsheetml/2006/main" count="296" uniqueCount="192">
  <si>
    <t>1. ENTITY INFORMATION</t>
  </si>
  <si>
    <t>q</t>
  </si>
  <si>
    <t>2. EMISSIONS SOURCES DATA</t>
  </si>
  <si>
    <t>1.1 Entity &amp; Reporting Details</t>
  </si>
  <si>
    <t>2.1 Indirect Emissions from Purchased Electricity</t>
  </si>
  <si>
    <t>Data to Update</t>
  </si>
  <si>
    <t>Mitigation Factors</t>
  </si>
  <si>
    <t>Company/Entity</t>
  </si>
  <si>
    <t>Reporting Year</t>
  </si>
  <si>
    <t>Metered Electricity</t>
  </si>
  <si>
    <t>Unmetered Electricity (Generator Subscription)</t>
  </si>
  <si>
    <t>Unit</t>
  </si>
  <si>
    <t>$/unit</t>
  </si>
  <si>
    <t>ton/unit</t>
  </si>
  <si>
    <t>kWh/u</t>
  </si>
  <si>
    <t>TJ/ kton</t>
  </si>
  <si>
    <t>tC /TJ</t>
  </si>
  <si>
    <r>
      <t>tCH</t>
    </r>
    <r>
      <rPr>
        <b/>
        <vertAlign val="subscript"/>
        <sz val="10"/>
        <color theme="1"/>
        <rFont val="Calibri"/>
        <family val="2"/>
      </rPr>
      <t>4</t>
    </r>
    <r>
      <rPr>
        <b/>
        <sz val="10"/>
        <color theme="1"/>
        <rFont val="Calibri"/>
        <family val="2"/>
      </rPr>
      <t xml:space="preserve"> /TJ</t>
    </r>
  </si>
  <si>
    <r>
      <t>tN</t>
    </r>
    <r>
      <rPr>
        <b/>
        <vertAlign val="subscript"/>
        <sz val="10"/>
        <color theme="1"/>
        <rFont val="Calibri"/>
        <family val="2"/>
      </rPr>
      <t>2</t>
    </r>
    <r>
      <rPr>
        <b/>
        <sz val="10"/>
        <color theme="1"/>
        <rFont val="Calibri"/>
        <family val="2"/>
      </rPr>
      <t>O /TJ</t>
    </r>
  </si>
  <si>
    <r>
      <t>tCO</t>
    </r>
    <r>
      <rPr>
        <b/>
        <vertAlign val="subscript"/>
        <sz val="10"/>
        <color theme="1"/>
        <rFont val="Calibri"/>
        <family val="2"/>
      </rPr>
      <t>2</t>
    </r>
    <r>
      <rPr>
        <b/>
        <sz val="10"/>
        <color theme="1"/>
        <rFont val="Calibri"/>
        <family val="2"/>
      </rPr>
      <t xml:space="preserve"> /ton</t>
    </r>
  </si>
  <si>
    <r>
      <t>tCH</t>
    </r>
    <r>
      <rPr>
        <b/>
        <vertAlign val="subscript"/>
        <sz val="10"/>
        <color theme="1"/>
        <rFont val="Calibri"/>
        <family val="2"/>
      </rPr>
      <t>4</t>
    </r>
    <r>
      <rPr>
        <b/>
        <sz val="10"/>
        <color theme="1"/>
        <rFont val="Calibri"/>
        <family val="2"/>
      </rPr>
      <t xml:space="preserve"> /ton</t>
    </r>
  </si>
  <si>
    <r>
      <t>tN</t>
    </r>
    <r>
      <rPr>
        <b/>
        <vertAlign val="subscript"/>
        <sz val="10"/>
        <color theme="1"/>
        <rFont val="Calibri"/>
        <family val="2"/>
      </rPr>
      <t>2</t>
    </r>
    <r>
      <rPr>
        <b/>
        <sz val="10"/>
        <color theme="1"/>
        <rFont val="Calibri"/>
        <family val="2"/>
      </rPr>
      <t>O /ton</t>
    </r>
  </si>
  <si>
    <t>kg CO₂/unit</t>
  </si>
  <si>
    <t>kg CH₄/unit</t>
  </si>
  <si>
    <t>kg N₂O/unit</t>
  </si>
  <si>
    <t>Mitigation Actions</t>
  </si>
  <si>
    <t>Capacity</t>
  </si>
  <si>
    <t>CF</t>
  </si>
  <si>
    <t>Saving Unit</t>
  </si>
  <si>
    <t>Saving on</t>
  </si>
  <si>
    <t>Address</t>
  </si>
  <si>
    <t>Consumption kWh/yr</t>
  </si>
  <si>
    <t>tCO₂eq.</t>
  </si>
  <si>
    <t>Amps</t>
  </si>
  <si>
    <t>Hours/year</t>
  </si>
  <si>
    <t>GWP</t>
  </si>
  <si>
    <t>-</t>
  </si>
  <si>
    <t>Solar Photovoltaics</t>
  </si>
  <si>
    <t>kWp</t>
  </si>
  <si>
    <t>MWh</t>
  </si>
  <si>
    <t>Electricity</t>
  </si>
  <si>
    <t>Contact Person</t>
  </si>
  <si>
    <t>Position</t>
  </si>
  <si>
    <t>EDL</t>
  </si>
  <si>
    <t>1-Phase</t>
  </si>
  <si>
    <t xml:space="preserve">EDL </t>
  </si>
  <si>
    <t>kWh</t>
  </si>
  <si>
    <t>Solar Water Heating</t>
  </si>
  <si>
    <t>liters</t>
  </si>
  <si>
    <t>Water Heating</t>
  </si>
  <si>
    <t>E-mail Address</t>
  </si>
  <si>
    <t>Phone</t>
  </si>
  <si>
    <t>Gen Subscription</t>
  </si>
  <si>
    <t>3-Phase</t>
  </si>
  <si>
    <t>Generator Subscription</t>
  </si>
  <si>
    <t>Wind Energy</t>
  </si>
  <si>
    <t>Verifier</t>
  </si>
  <si>
    <t>Verifier Email</t>
  </si>
  <si>
    <t>Renewable Energy</t>
  </si>
  <si>
    <t>Solar Pumping</t>
  </si>
  <si>
    <t>hp</t>
  </si>
  <si>
    <t>I, the undersigned, acknowledge that all the information and data related to fuel and energy consumption presented in this report are accurate to the best of my knowledge.</t>
  </si>
  <si>
    <t>2.2 Direct Emissions from Fuel Combustion</t>
  </si>
  <si>
    <t>Diesel Oil</t>
  </si>
  <si>
    <t>lit</t>
  </si>
  <si>
    <t>Solar Street Lighting</t>
  </si>
  <si>
    <t>kW</t>
  </si>
  <si>
    <t>Emissions from Stationary Fuel Combustion</t>
  </si>
  <si>
    <t>Heavy Fuel Oil</t>
  </si>
  <si>
    <t>LED Lighting</t>
  </si>
  <si>
    <t>Signature</t>
  </si>
  <si>
    <t>Date</t>
  </si>
  <si>
    <t>Diesel (liters)</t>
  </si>
  <si>
    <t>Heavy Fuel Oil (liters)</t>
  </si>
  <si>
    <t>Petcoke (ton.)</t>
  </si>
  <si>
    <t>Petroleum Coke</t>
  </si>
  <si>
    <t>tonne</t>
  </si>
  <si>
    <t>HVAC Upgrade</t>
  </si>
  <si>
    <t>ton</t>
  </si>
  <si>
    <t>New Car</t>
  </si>
  <si>
    <t>Gasoline Car</t>
  </si>
  <si>
    <t>Fuel for Electricity Generation</t>
  </si>
  <si>
    <t>Butane/Propane</t>
  </si>
  <si>
    <t>kg</t>
  </si>
  <si>
    <t>VSD/VFD</t>
  </si>
  <si>
    <t xml:space="preserve"> l/km</t>
  </si>
  <si>
    <t>kg CO2eq/km</t>
  </si>
  <si>
    <t>Fuel for Water Heating Boilers</t>
  </si>
  <si>
    <t>Gasoline</t>
  </si>
  <si>
    <t>Gasoline Car to EV</t>
  </si>
  <si>
    <t>km/year</t>
  </si>
  <si>
    <t>tCO₂eq</t>
  </si>
  <si>
    <t>Transport</t>
  </si>
  <si>
    <t>1.2 Benchmarking Factors | OPTIONAL</t>
  </si>
  <si>
    <t>Fuel for Space Heating  (chauffage)</t>
  </si>
  <si>
    <t>Diesel Fuel</t>
  </si>
  <si>
    <t>Gasoline Car to Hybrid</t>
  </si>
  <si>
    <t>Fuel for Process Applications</t>
  </si>
  <si>
    <t>Emitted tCO₂eq.</t>
  </si>
  <si>
    <t>Total Employees</t>
  </si>
  <si>
    <t>Emissions from Cooking</t>
  </si>
  <si>
    <t>Emissions from Transport</t>
  </si>
  <si>
    <t>FACTORS (Used for Savings)</t>
  </si>
  <si>
    <t>Data for Figures</t>
  </si>
  <si>
    <t>Mitigated tCO₂eq.</t>
  </si>
  <si>
    <t>Total Area (m²)</t>
  </si>
  <si>
    <t>Cooking Gas Butane/Propane (kg)</t>
  </si>
  <si>
    <t>Gasoline (liters)</t>
  </si>
  <si>
    <t>Combined Emission Factor</t>
  </si>
  <si>
    <t>Emission Breakdown</t>
  </si>
  <si>
    <t xml:space="preserve"> tCO₂eq</t>
  </si>
  <si>
    <t>tCO₂</t>
  </si>
  <si>
    <t>tCH₄</t>
  </si>
  <si>
    <t>tN₂O</t>
  </si>
  <si>
    <t>Transport tCO₂eq.</t>
  </si>
  <si>
    <t>Travel Distance (km)</t>
  </si>
  <si>
    <t>$/</t>
  </si>
  <si>
    <t>tCO₂ eq/</t>
  </si>
  <si>
    <t>Purchased Electricity</t>
  </si>
  <si>
    <t>Energy Production (excl Cooking)</t>
  </si>
  <si>
    <t>EMISSIONS RESULTS</t>
  </si>
  <si>
    <t>Emitted</t>
  </si>
  <si>
    <t>Mitigated</t>
  </si>
  <si>
    <t>Process</t>
  </si>
  <si>
    <t>USD</t>
  </si>
  <si>
    <t>Tonnes CO₂</t>
  </si>
  <si>
    <t>Transport Emissions/km</t>
  </si>
  <si>
    <t>Cooking</t>
  </si>
  <si>
    <t>Tonnes CH₄</t>
  </si>
  <si>
    <r>
      <t>Emitted/m</t>
    </r>
    <r>
      <rPr>
        <b/>
        <vertAlign val="superscript"/>
        <sz val="10"/>
        <color theme="1"/>
        <rFont val="Calibri"/>
        <family val="2"/>
      </rPr>
      <t>2</t>
    </r>
  </si>
  <si>
    <t>Tonnes N₂O</t>
  </si>
  <si>
    <r>
      <t>Mitigated/m</t>
    </r>
    <r>
      <rPr>
        <b/>
        <vertAlign val="superscript"/>
        <sz val="10"/>
        <color theme="1"/>
        <rFont val="Calibri"/>
        <family val="2"/>
      </rPr>
      <t>2</t>
    </r>
  </si>
  <si>
    <t>Total tonnes CO₂eq.</t>
  </si>
  <si>
    <t>Emitted/employee</t>
  </si>
  <si>
    <t>Energy kgCO₂eq/kWh</t>
  </si>
  <si>
    <t>Mitigated/employee</t>
  </si>
  <si>
    <t>Diesel Electricity</t>
  </si>
  <si>
    <t>HFO Electricity</t>
  </si>
  <si>
    <t>3. MITIGATION ACTIONS IMPLEMENTED (WITHIN THE FACILITY)</t>
  </si>
  <si>
    <t>Petcoke Electricity</t>
  </si>
  <si>
    <t>Mitigation Action</t>
  </si>
  <si>
    <t>Description of the Measure</t>
  </si>
  <si>
    <t>Saving On</t>
  </si>
  <si>
    <t>Budget (USD)</t>
  </si>
  <si>
    <t xml:space="preserve"> Funded by</t>
  </si>
  <si>
    <t>Energy Savings</t>
  </si>
  <si>
    <t>Energy Unit</t>
  </si>
  <si>
    <t>Cost Saving</t>
  </si>
  <si>
    <t>Payback (years)</t>
  </si>
  <si>
    <t>tCO₂eq Saved</t>
  </si>
  <si>
    <t>Diesel WH</t>
  </si>
  <si>
    <t>HFO WH</t>
  </si>
  <si>
    <t>Petcoke WH</t>
  </si>
  <si>
    <t>Diesel Process</t>
  </si>
  <si>
    <t>HFO Process</t>
  </si>
  <si>
    <t>Petcoke Process</t>
  </si>
  <si>
    <t>For Verification</t>
  </si>
  <si>
    <t>Disclaimer: The results presented are estimates based on recent market trends and rules of thumb. They are intended for informational purposes only and should not be considered as definitive or precise values.</t>
  </si>
  <si>
    <t>OUR CARBON FOOTPRINT</t>
  </si>
  <si>
    <t>OVERALL GREENHOUSE GAS EMISSIONS</t>
  </si>
  <si>
    <t>RENEWABLE ENERGY CONTRIBUTION</t>
  </si>
  <si>
    <t>ADDITIONAL BENCHMARK OF CHOICE</t>
  </si>
  <si>
    <t>RE</t>
  </si>
  <si>
    <t>Do you want to add another benchmark factor?</t>
  </si>
  <si>
    <t>Other</t>
  </si>
  <si>
    <t>Emissions from Electricity</t>
  </si>
  <si>
    <t>EMISSIONS BY SOURCE</t>
  </si>
  <si>
    <t>Enter Factor (ex. Bed, room, ton…)</t>
  </si>
  <si>
    <t>Ton</t>
  </si>
  <si>
    <t>Produced Electricity</t>
  </si>
  <si>
    <t>Emissions from Other Applications</t>
  </si>
  <si>
    <t>Heating &amp; Process</t>
  </si>
  <si>
    <t>Total Emissions</t>
  </si>
  <si>
    <t>Enter factor values for relevant years</t>
  </si>
  <si>
    <t>EMISSIONS TREND</t>
  </si>
  <si>
    <t>EMISSIONS BENCHMARKING</t>
  </si>
  <si>
    <r>
      <t>per m</t>
    </r>
    <r>
      <rPr>
        <b/>
        <vertAlign val="superscript"/>
        <sz val="10"/>
        <color theme="0" tint="-0.249977111117893"/>
        <rFont val="Century Gothic"/>
        <family val="2"/>
      </rPr>
      <t>2</t>
    </r>
  </si>
  <si>
    <t>per Employee</t>
  </si>
  <si>
    <t>MITIGATION IMPACT</t>
  </si>
  <si>
    <t>Total</t>
  </si>
  <si>
    <t>Energy per kWh</t>
  </si>
  <si>
    <t>kgCO₂eq</t>
  </si>
  <si>
    <t>GWP VALUES</t>
  </si>
  <si>
    <t>per m²</t>
  </si>
  <si>
    <t>CO₂</t>
  </si>
  <si>
    <t>CH₄</t>
  </si>
  <si>
    <t>N₂O</t>
  </si>
  <si>
    <t>X</t>
  </si>
  <si>
    <t>Y</t>
  </si>
  <si>
    <t>per travel km</t>
  </si>
  <si>
    <t>IPCC 2014</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</si>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</sst>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quot;$&quot;#,##0.00"/>
    <numFmt numFmtId="165" formatCode="#,##0.000000"/>
    <numFmt numFmtId="166" formatCode="#,##0.0000"/>
    <numFmt numFmtId="167" formatCode="0.00000000"/>
    <numFmt numFmtId="168" formatCode="#,##0.0000000"/>
    <numFmt numFmtId="169" formatCode="#,##0.00000000"/>
    <numFmt numFmtId="170" formatCode="0.000"/>
    <numFmt numFmtId="171" formatCode="[$-F800]dddd\,\ mmmm\ dd\,\ yyyy"/>
    <numFmt numFmtId="172" formatCode="0.000000"/>
    <numFmt numFmtId="173" formatCode="#,##0.000"/>
    <numFmt numFmtId="174" formatCode="&quot;$&quot;#,##0.0000"/>
    <numFmt numFmtId="175" formatCode="&quot;$&quot;#,##0.0"/>
    <numFmt numFmtId="176" formatCode="#,##0.00000"/>
    <numFmt numFmtId="177" formatCode="&quot;$&quot;#,##0"/>
    <numFmt numFmtId="178" formatCode="#,##0.0"/>
    <numFmt numFmtId="179" formatCode="0.0%"/>
  </numFmts>
  <fonts count="73" x14ac:knownFonts="1">
    <font>
      <sz val="11"/>
      <color theme="1"/>
      <name val="Aptos Narrow"/>
      <family val="2"/>
      <scheme val="minor"/>
    </font>
    <font>
      <sz val="11"/>
      <color theme="1"/>
      <name val="Aptos Narrow"/>
      <family val="2"/>
      <scheme val="minor"/>
    </font>
    <font>
      <u/>
      <sz val="11"/>
      <color theme="10"/>
      <name val="Aptos Narrow"/>
      <family val="2"/>
      <scheme val="minor"/>
    </font>
    <font>
      <sz val="10"/>
      <color theme="1"/>
      <name val="Calibri"/>
      <family val="2"/>
    </font>
    <font>
      <b/>
      <sz val="10"/>
      <color theme="0"/>
      <name val="Wingdings 3"/>
      <family val="1"/>
      <charset val="2"/>
    </font>
    <font>
      <b/>
      <sz val="12"/>
      <color theme="0"/>
      <name val="Calibri"/>
      <family val="2"/>
    </font>
    <font>
      <b/>
      <sz val="14"/>
      <color theme="0"/>
      <name val="Wingdings 3"/>
      <family val="1"/>
      <charset val="2"/>
    </font>
    <font>
      <b/>
      <sz val="10"/>
      <color theme="0"/>
      <name val="Calibri"/>
      <family val="2"/>
    </font>
    <font>
      <sz val="8"/>
      <color rgb="FFFF0000"/>
      <name val="Calibri"/>
      <family val="2"/>
    </font>
    <font>
      <sz val="10"/>
      <color rgb="FFFF0000"/>
      <name val="Calibri"/>
      <family val="2"/>
    </font>
    <font>
      <b/>
      <sz val="10"/>
      <color theme="1"/>
      <name val="Calibri"/>
      <family val="2"/>
    </font>
    <font>
      <b/>
      <sz val="10"/>
      <name val="Calibri"/>
      <family val="2"/>
    </font>
    <font>
      <b/>
      <vertAlign val="subscript"/>
      <sz val="10"/>
      <color theme="1"/>
      <name val="Calibri"/>
      <family val="2"/>
    </font>
    <font>
      <i/>
      <sz val="10"/>
      <color theme="1"/>
      <name val="Calibri"/>
      <family val="2"/>
    </font>
    <font>
      <sz val="10"/>
      <color theme="1" tint="0.249977111117893"/>
      <name val="Calibri"/>
      <family val="2"/>
    </font>
    <font>
      <i/>
      <sz val="9"/>
      <color theme="1" tint="0.499984740745262"/>
      <name val="Calibri"/>
      <family val="2"/>
    </font>
    <font>
      <i/>
      <sz val="8"/>
      <color theme="1"/>
      <name val="Calibri"/>
      <family val="2"/>
    </font>
    <font>
      <u/>
      <sz val="9"/>
      <color theme="1" tint="0.249977111117893"/>
      <name val="Calibri"/>
      <family val="2"/>
    </font>
    <font>
      <sz val="10"/>
      <name val="Calibri"/>
      <family val="2"/>
    </font>
    <font>
      <b/>
      <sz val="10"/>
      <color rgb="FFFF0000"/>
      <name val="Calibri"/>
      <family val="2"/>
    </font>
    <font>
      <b/>
      <sz val="10"/>
      <color theme="0" tint="-4.9989318521683403E-2"/>
      <name val="Calibri"/>
      <family val="2"/>
    </font>
    <font>
      <b/>
      <u/>
      <sz val="10"/>
      <color theme="1"/>
      <name val="Calibri"/>
      <family val="2"/>
    </font>
    <font>
      <b/>
      <sz val="10"/>
      <color theme="1" tint="0.499984740745262"/>
      <name val="Calibri"/>
      <family val="2"/>
    </font>
    <font>
      <sz val="10"/>
      <color theme="1" tint="0.499984740745262"/>
      <name val="Calibri"/>
      <family val="2"/>
    </font>
    <font>
      <sz val="10"/>
      <color theme="1" tint="0.14999847407452621"/>
      <name val="Calibri"/>
      <family val="2"/>
    </font>
    <font>
      <sz val="10"/>
      <color theme="0" tint="-0.14999847407452621"/>
      <name val="Calibri"/>
      <family val="2"/>
    </font>
    <font>
      <b/>
      <sz val="12"/>
      <color theme="1" tint="0.34998626667073579"/>
      <name val="Calibri"/>
      <family val="2"/>
    </font>
    <font>
      <b/>
      <sz val="14"/>
      <color theme="1" tint="0.34998626667073579"/>
      <name val="Wingdings 3"/>
      <family val="1"/>
      <charset val="2"/>
    </font>
    <font>
      <b/>
      <sz val="9"/>
      <color theme="1"/>
      <name val="Calibri"/>
      <family val="2"/>
    </font>
    <font>
      <sz val="8"/>
      <color theme="0" tint="-4.9989318521683403E-2"/>
      <name val="Calibri"/>
      <family val="2"/>
    </font>
    <font>
      <sz val="7"/>
      <color theme="1"/>
      <name val="Calibri"/>
      <family val="2"/>
    </font>
    <font>
      <b/>
      <vertAlign val="superscript"/>
      <sz val="10"/>
      <color theme="1"/>
      <name val="Calibri"/>
      <family val="2"/>
    </font>
    <font>
      <sz val="8"/>
      <color theme="1"/>
      <name val="Calibri"/>
      <family val="2"/>
    </font>
    <font>
      <sz val="11"/>
      <color rgb="FFFF0000"/>
      <name val="Calibri"/>
      <family val="2"/>
    </font>
    <font>
      <sz val="11"/>
      <color rgb="FFFF0000"/>
      <name val="Aptos"/>
      <family val="2"/>
    </font>
    <font>
      <b/>
      <sz val="11"/>
      <color theme="0"/>
      <name val="Calibri"/>
      <family val="2"/>
    </font>
    <font>
      <sz val="8"/>
      <name val="Helvetica"/>
    </font>
    <font>
      <sz val="8"/>
      <name val="Calibri"/>
      <family val="2"/>
    </font>
    <font>
      <sz val="8"/>
      <color theme="1" tint="0.34998626667073579"/>
      <name val="Calibri"/>
      <family val="2"/>
    </font>
    <font>
      <sz val="10"/>
      <color theme="1" tint="0.34998626667073579"/>
      <name val="Calibri"/>
      <family val="2"/>
    </font>
    <font>
      <i/>
      <sz val="8"/>
      <color theme="0"/>
      <name val="Calibri"/>
      <family val="2"/>
    </font>
    <font>
      <sz val="8"/>
      <color indexed="81"/>
      <name val="Tahoma"/>
      <family val="2"/>
    </font>
    <font>
      <sz val="9"/>
      <color indexed="81"/>
      <name val="Tahoma"/>
      <family val="2"/>
    </font>
    <font>
      <sz val="11"/>
      <color rgb="FFE6FEF6"/>
      <name val="Century Gothic"/>
      <family val="2"/>
    </font>
    <font>
      <sz val="11"/>
      <color theme="1"/>
      <name val="Century Gothic"/>
      <family val="2"/>
    </font>
    <font>
      <sz val="10"/>
      <color theme="0" tint="-0.249977111117893"/>
      <name val="Century Gothic"/>
      <family val="2"/>
    </font>
    <font>
      <sz val="10"/>
      <color theme="1"/>
      <name val="Century Gothic"/>
      <family val="2"/>
    </font>
    <font>
      <b/>
      <sz val="28"/>
      <color rgb="FFE6FEF6"/>
      <name val="Century Gothic"/>
      <family val="2"/>
    </font>
    <font>
      <b/>
      <sz val="20"/>
      <color rgb="FFE6FEF6"/>
      <name val="Century Gothic"/>
      <family val="2"/>
    </font>
    <font>
      <b/>
      <sz val="24"/>
      <color rgb="FFE6FEF6"/>
      <name val="Century Gothic"/>
      <family val="2"/>
    </font>
    <font>
      <b/>
      <sz val="48"/>
      <color rgb="FFE6FEF6"/>
      <name val="Century Gothic"/>
      <family val="2"/>
    </font>
    <font>
      <i/>
      <sz val="10"/>
      <color rgb="FFE6FEF6"/>
      <name val="Century Gothic"/>
      <family val="2"/>
    </font>
    <font>
      <i/>
      <sz val="12"/>
      <color rgb="FFE6FEF6"/>
      <name val="Century Gothic"/>
      <family val="2"/>
    </font>
    <font>
      <b/>
      <sz val="16"/>
      <color rgb="FF0A806E"/>
      <name val="Century Gothic"/>
      <family val="2"/>
    </font>
    <font>
      <b/>
      <sz val="10"/>
      <color rgb="FF0A806E"/>
      <name val="Century Gothic"/>
      <family val="2"/>
    </font>
    <font>
      <b/>
      <sz val="10"/>
      <color theme="0" tint="-0.249977111117893"/>
      <name val="Century Gothic"/>
      <family val="2"/>
    </font>
    <font>
      <b/>
      <sz val="12"/>
      <color rgb="FF3BA18C"/>
      <name val="Century Gothic"/>
      <family val="2"/>
    </font>
    <font>
      <b/>
      <sz val="12"/>
      <color rgb="FFABDFD4"/>
      <name val="Century Gothic"/>
      <family val="2"/>
    </font>
    <font>
      <sz val="11"/>
      <color theme="0" tint="-0.249977111117893"/>
      <name val="Century Gothic"/>
      <family val="2"/>
    </font>
    <font>
      <b/>
      <sz val="12"/>
      <color rgb="FF95D7C9"/>
      <name val="Century Gothic"/>
      <family val="2"/>
    </font>
    <font>
      <b/>
      <sz val="10"/>
      <color rgb="FFABDFD4"/>
      <name val="Century Gothic"/>
      <family val="2"/>
    </font>
    <font>
      <b/>
      <sz val="18"/>
      <color rgb="FF95D7C9"/>
      <name val="Century Gothic"/>
      <family val="2"/>
    </font>
    <font>
      <sz val="12"/>
      <color rgb="FF3BA18C"/>
      <name val="Century Gothic"/>
      <family val="2"/>
    </font>
    <font>
      <sz val="12"/>
      <color rgb="FFABDFD4"/>
      <name val="Century Gothic"/>
      <family val="2"/>
    </font>
    <font>
      <b/>
      <sz val="12"/>
      <color rgb="FF668AB6"/>
      <name val="Century Gothic"/>
      <family val="2"/>
    </font>
    <font>
      <b/>
      <vertAlign val="superscript"/>
      <sz val="10"/>
      <color theme="0" tint="-0.249977111117893"/>
      <name val="Century Gothic"/>
      <family val="2"/>
    </font>
    <font>
      <sz val="9"/>
      <color theme="0" tint="-0.249977111117893"/>
      <name val="Century Gothic"/>
      <family val="2"/>
    </font>
    <font>
      <i/>
      <sz val="10"/>
      <color theme="0" tint="-0.249977111117893"/>
      <name val="Century Gothic"/>
      <family val="2"/>
    </font>
    <font>
      <b/>
      <sz val="9"/>
      <color rgb="FFABDFD4"/>
      <name val="Century Gothic"/>
      <family val="2"/>
    </font>
    <font>
      <sz val="9"/>
      <color rgb="FFFF0000"/>
      <name val="Abadi"/>
      <family val="2"/>
    </font>
    <font>
      <b/>
      <sz val="9"/>
      <color rgb="FF95D7C9"/>
      <name val="Century Gothic"/>
      <family val="2"/>
    </font>
    <font>
      <sz val="10"/>
      <color rgb="FF3BA18C"/>
      <name val="Century Gothic"/>
      <family val="2"/>
    </font>
    <font>
      <b/>
      <sz val="20"/>
      <color rgb="FF3BA18C"/>
      <name val="Century Gothic"/>
      <family val="2"/>
    </font>
  </fonts>
  <fills count="29">
    <fill>
      <patternFill patternType="none"/>
    </fill>
    <fill>
      <patternFill patternType="gray125"/>
    </fill>
    <fill>
      <patternFill patternType="solid">
        <fgColor theme="0" tint="-0.249977111117893"/>
        <bgColor indexed="64"/>
      </patternFill>
    </fill>
    <fill>
      <patternFill patternType="solid">
        <fgColor rgb="FF0A806E"/>
        <bgColor indexed="64"/>
      </patternFill>
    </fill>
    <fill>
      <patternFill patternType="solid">
        <fgColor theme="0"/>
        <bgColor indexed="64"/>
      </patternFill>
    </fill>
    <fill>
      <patternFill patternType="solid">
        <fgColor rgb="FF3BA18C"/>
        <bgColor indexed="64"/>
      </patternFill>
    </fill>
    <fill>
      <patternFill patternType="solid">
        <fgColor theme="1"/>
        <bgColor indexed="64"/>
      </patternFill>
    </fill>
    <fill>
      <patternFill patternType="solid">
        <fgColor rgb="FFABDFD4"/>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FFD54F"/>
        <bgColor indexed="64"/>
      </patternFill>
    </fill>
    <fill>
      <patternFill patternType="solid">
        <fgColor theme="2"/>
        <bgColor indexed="64"/>
      </patternFill>
    </fill>
    <fill>
      <patternFill patternType="solid">
        <fgColor rgb="FFECFEF8"/>
        <bgColor indexed="64"/>
      </patternFill>
    </fill>
    <fill>
      <patternFill patternType="solid">
        <fgColor rgb="FFD5EFFB"/>
        <bgColor indexed="64"/>
      </patternFill>
    </fill>
    <fill>
      <patternFill patternType="solid">
        <fgColor rgb="FFBFBFBF"/>
        <bgColor indexed="64"/>
      </patternFill>
    </fill>
    <fill>
      <patternFill patternType="solid">
        <fgColor theme="0" tint="-0.14999847407452621"/>
        <bgColor indexed="64"/>
      </patternFill>
    </fill>
    <fill>
      <patternFill patternType="solid">
        <fgColor rgb="FFDECE04"/>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FCD34E"/>
        <bgColor indexed="64"/>
      </patternFill>
    </fill>
    <fill>
      <patternFill patternType="solid">
        <fgColor rgb="FFFDDF7F"/>
        <bgColor indexed="64"/>
      </patternFill>
    </fill>
    <fill>
      <patternFill patternType="solid">
        <fgColor rgb="FFFEF0C2"/>
        <bgColor indexed="64"/>
      </patternFill>
    </fill>
    <fill>
      <patternFill patternType="solid">
        <fgColor rgb="FFFAF1D3"/>
        <bgColor indexed="64"/>
      </patternFill>
    </fill>
    <fill>
      <patternFill patternType="solid">
        <fgColor theme="6" tint="0.79998168889431442"/>
        <bgColor indexed="64"/>
      </patternFill>
    </fill>
    <fill>
      <patternFill patternType="solid">
        <fgColor rgb="FF1D93AF"/>
        <bgColor indexed="64"/>
      </patternFill>
    </fill>
    <fill>
      <patternFill patternType="solid">
        <fgColor rgb="FF93DCED"/>
        <bgColor indexed="64"/>
      </patternFill>
    </fill>
    <fill>
      <patternFill patternType="solid">
        <fgColor rgb="FFE6FEF6"/>
        <bgColor indexed="64"/>
      </patternFill>
    </fill>
    <fill>
      <patternFill patternType="solid">
        <fgColor theme="7" tint="0.39997558519241921"/>
        <bgColor indexed="64"/>
      </patternFill>
    </fill>
  </fills>
  <borders count="71">
    <border>
      <left/>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style="thin">
        <color auto="1"/>
      </bottom>
      <diagonal/>
    </border>
    <border>
      <left/>
      <right/>
      <top style="thick">
        <color theme="0"/>
      </top>
      <bottom style="thin">
        <color auto="1"/>
      </bottom>
      <diagonal/>
    </border>
    <border>
      <left/>
      <right style="thick">
        <color theme="0"/>
      </right>
      <top style="thick">
        <color theme="0"/>
      </top>
      <bottom style="thin">
        <color auto="1"/>
      </bottom>
      <diagonal/>
    </border>
    <border>
      <left style="thick">
        <color theme="0"/>
      </left>
      <right/>
      <top/>
      <bottom style="thin">
        <color theme="0"/>
      </bottom>
      <diagonal/>
    </border>
    <border>
      <left/>
      <right/>
      <top/>
      <bottom style="thin">
        <color theme="0"/>
      </bottom>
      <diagonal/>
    </border>
    <border>
      <left/>
      <right style="thick">
        <color theme="0"/>
      </right>
      <top/>
      <bottom style="thin">
        <color theme="0"/>
      </bottom>
      <diagonal/>
    </border>
    <border>
      <left/>
      <right/>
      <top/>
      <bottom style="thin">
        <color theme="0" tint="-0.24994659260841701"/>
      </bottom>
      <diagonal/>
    </border>
    <border>
      <left style="thick">
        <color theme="0"/>
      </left>
      <right/>
      <top style="thin">
        <color indexed="64"/>
      </top>
      <bottom style="thin">
        <color theme="0" tint="-0.24994659260841701"/>
      </bottom>
      <diagonal/>
    </border>
    <border>
      <left/>
      <right/>
      <top style="thin">
        <color auto="1"/>
      </top>
      <bottom style="thin">
        <color theme="0" tint="-0.24994659260841701"/>
      </bottom>
      <diagonal/>
    </border>
    <border>
      <left/>
      <right style="thick">
        <color theme="0"/>
      </right>
      <top style="thin">
        <color auto="1"/>
      </top>
      <bottom style="thin">
        <color theme="0" tint="-0.24994659260841701"/>
      </bottom>
      <diagonal/>
    </border>
    <border>
      <left style="thick">
        <color theme="0"/>
      </left>
      <right/>
      <top style="thin">
        <color theme="0"/>
      </top>
      <bottom/>
      <diagonal/>
    </border>
    <border>
      <left/>
      <right/>
      <top style="thin">
        <color theme="0"/>
      </top>
      <bottom/>
      <diagonal/>
    </border>
    <border>
      <left/>
      <right style="thick">
        <color theme="0"/>
      </right>
      <top style="thin">
        <color theme="0"/>
      </top>
      <bottom/>
      <diagonal/>
    </border>
    <border>
      <left/>
      <right/>
      <top style="thin">
        <color theme="0" tint="-0.24994659260841701"/>
      </top>
      <bottom style="thin">
        <color theme="0"/>
      </bottom>
      <diagonal/>
    </border>
    <border>
      <left/>
      <right/>
      <top style="thin">
        <color theme="0"/>
      </top>
      <bottom style="thin">
        <color theme="0"/>
      </bottom>
      <diagonal/>
    </border>
    <border>
      <left style="thick">
        <color theme="0"/>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ck">
        <color theme="0"/>
      </right>
      <top style="thin">
        <color theme="0" tint="-0.24994659260841701"/>
      </top>
      <bottom style="thin">
        <color theme="0" tint="-0.24994659260841701"/>
      </bottom>
      <diagonal/>
    </border>
    <border>
      <left style="thick">
        <color theme="0"/>
      </left>
      <right/>
      <top/>
      <bottom/>
      <diagonal/>
    </border>
    <border>
      <left/>
      <right style="thick">
        <color theme="0"/>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style="thick">
        <color theme="0"/>
      </left>
      <right/>
      <top style="thin">
        <color theme="0" tint="-0.24994659260841701"/>
      </top>
      <bottom style="thick">
        <color theme="0"/>
      </bottom>
      <diagonal/>
    </border>
    <border>
      <left/>
      <right/>
      <top style="thin">
        <color theme="0" tint="-0.24994659260841701"/>
      </top>
      <bottom style="thick">
        <color theme="0"/>
      </bottom>
      <diagonal/>
    </border>
    <border>
      <left/>
      <right style="thick">
        <color theme="0"/>
      </right>
      <top style="thin">
        <color theme="0" tint="-0.24994659260841701"/>
      </top>
      <bottom style="thick">
        <color theme="0"/>
      </bottom>
      <diagonal/>
    </border>
    <border>
      <left style="thick">
        <color theme="0"/>
      </left>
      <right/>
      <top/>
      <bottom style="thin">
        <color theme="0" tint="-0.24994659260841701"/>
      </bottom>
      <diagonal/>
    </border>
    <border>
      <left style="thick">
        <color theme="0"/>
      </left>
      <right/>
      <top style="thin">
        <color theme="0" tint="-0.24994659260841701"/>
      </top>
      <bottom/>
      <diagonal/>
    </border>
    <border>
      <left/>
      <right/>
      <top style="thin">
        <color theme="0" tint="-0.24994659260841701"/>
      </top>
      <bottom/>
      <diagonal/>
    </border>
    <border>
      <left/>
      <right style="thick">
        <color theme="0"/>
      </right>
      <top style="thin">
        <color theme="0" tint="-0.24994659260841701"/>
      </top>
      <bottom/>
      <diagonal/>
    </border>
    <border>
      <left/>
      <right style="thick">
        <color theme="0"/>
      </right>
      <top/>
      <bottom style="thin">
        <color theme="0" tint="-0.24994659260841701"/>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top style="thick">
        <color theme="0"/>
      </top>
      <bottom style="thin">
        <color theme="0" tint="-0.24994659260841701"/>
      </bottom>
      <diagonal/>
    </border>
    <border>
      <left/>
      <right/>
      <top style="thick">
        <color theme="0"/>
      </top>
      <bottom style="thin">
        <color theme="0" tint="-0.24994659260841701"/>
      </bottom>
      <diagonal/>
    </border>
    <border>
      <left/>
      <right style="thick">
        <color theme="0"/>
      </right>
      <top style="thick">
        <color theme="0"/>
      </top>
      <bottom style="thin">
        <color theme="0" tint="-0.24994659260841701"/>
      </bottom>
      <diagonal/>
    </border>
    <border>
      <left/>
      <right/>
      <top style="thin">
        <color theme="0" tint="-0.14996795556505021"/>
      </top>
      <bottom style="thin">
        <color theme="0" tint="-0.24994659260841701"/>
      </bottom>
      <diagonal/>
    </border>
    <border>
      <left/>
      <right/>
      <top style="thick">
        <color theme="0"/>
      </top>
      <bottom style="thin">
        <color theme="0"/>
      </bottom>
      <diagonal/>
    </border>
    <border>
      <left style="thick">
        <color theme="0"/>
      </left>
      <right/>
      <top style="thin">
        <color theme="0"/>
      </top>
      <bottom style="thin">
        <color theme="0"/>
      </bottom>
      <diagonal/>
    </border>
    <border>
      <left/>
      <right/>
      <top style="thick">
        <color theme="0"/>
      </top>
      <bottom/>
      <diagonal/>
    </border>
    <border>
      <left/>
      <right/>
      <top style="thin">
        <color theme="0"/>
      </top>
      <bottom style="thin">
        <color indexed="64"/>
      </bottom>
      <diagonal/>
    </border>
    <border>
      <left style="thick">
        <color theme="0"/>
      </left>
      <right/>
      <top style="thin">
        <color theme="0"/>
      </top>
      <bottom style="thin">
        <color indexed="64"/>
      </bottom>
      <diagonal/>
    </border>
    <border>
      <left style="thick">
        <color theme="0"/>
      </left>
      <right/>
      <top style="thick">
        <color theme="0"/>
      </top>
      <bottom/>
      <diagonal/>
    </border>
    <border>
      <left/>
      <right style="thick">
        <color theme="0"/>
      </right>
      <top style="thick">
        <color theme="0"/>
      </top>
      <bottom/>
      <diagonal/>
    </border>
    <border>
      <left/>
      <right/>
      <top style="thin">
        <color indexed="64"/>
      </top>
      <bottom style="thin">
        <color theme="0"/>
      </bottom>
      <diagonal/>
    </border>
    <border>
      <left style="thick">
        <color theme="0"/>
      </left>
      <right/>
      <top style="thin">
        <color indexed="64"/>
      </top>
      <bottom style="thin">
        <color theme="0"/>
      </bottom>
      <diagonal/>
    </border>
    <border>
      <left/>
      <right/>
      <top style="thin">
        <color theme="0" tint="-0.24994659260841701"/>
      </top>
      <bottom style="thin">
        <color auto="1"/>
      </bottom>
      <diagonal/>
    </border>
    <border>
      <left/>
      <right/>
      <top style="thin">
        <color theme="0"/>
      </top>
      <bottom style="thin">
        <color theme="0" tint="-0.24994659260841701"/>
      </bottom>
      <diagonal/>
    </border>
    <border>
      <left style="thick">
        <color theme="0"/>
      </left>
      <right/>
      <top style="thin">
        <color theme="0"/>
      </top>
      <bottom style="thin">
        <color theme="0" tint="-0.24994659260841701"/>
      </bottom>
      <diagonal/>
    </border>
    <border>
      <left/>
      <right/>
      <top/>
      <bottom style="thin">
        <color theme="2" tint="-0.24994659260841701"/>
      </bottom>
      <diagonal/>
    </border>
    <border>
      <left/>
      <right style="thick">
        <color theme="0"/>
      </right>
      <top style="thin">
        <color theme="0"/>
      </top>
      <bottom style="thin">
        <color theme="0"/>
      </bottom>
      <diagonal/>
    </border>
    <border>
      <left/>
      <right/>
      <top style="thin">
        <color theme="2" tint="-0.24994659260841701"/>
      </top>
      <bottom style="thin">
        <color theme="0"/>
      </bottom>
      <diagonal/>
    </border>
    <border>
      <left style="thick">
        <color theme="0"/>
      </left>
      <right/>
      <top style="thin">
        <color theme="0" tint="-0.24994659260841701"/>
      </top>
      <bottom style="thin">
        <color theme="0"/>
      </bottom>
      <diagonal/>
    </border>
    <border>
      <left/>
      <right/>
      <top style="thin">
        <color theme="0" tint="-0.14996795556505021"/>
      </top>
      <bottom style="thin">
        <color indexed="64"/>
      </bottom>
      <diagonal/>
    </border>
    <border>
      <left/>
      <right/>
      <top/>
      <bottom style="thin">
        <color indexed="64"/>
      </bottom>
      <diagonal/>
    </border>
    <border>
      <left/>
      <right/>
      <top/>
      <bottom style="thin">
        <color theme="1" tint="0.499984740745262"/>
      </bottom>
      <diagonal/>
    </border>
    <border>
      <left/>
      <right/>
      <top style="thin">
        <color auto="1"/>
      </top>
      <bottom/>
      <diagonal/>
    </border>
    <border>
      <left/>
      <right style="thick">
        <color rgb="FFE6FEF6"/>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top style="thin">
        <color rgb="FFABDFD4"/>
      </top>
      <bottom/>
      <diagonal/>
    </border>
    <border>
      <left/>
      <right/>
      <top/>
      <bottom style="thin">
        <color rgb="FFABDFD4"/>
      </bottom>
      <diagonal/>
    </border>
    <border>
      <left style="thin">
        <color theme="0" tint="-0.24994659260841701"/>
      </left>
      <right/>
      <top/>
      <bottom style="thin">
        <color theme="0" tint="-0.24994659260841701"/>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6" fillId="0" borderId="0"/>
  </cellStyleXfs>
  <cellXfs count="439">
    <xf numFmtId="0" fontId="0" fillId="0" borderId="0" xfId="0"/>
    <xf numFmtId="0" fontId="3" fillId="2" borderId="0" xfId="0" applyFont="1" applyFill="1" applyAlignment="1">
      <alignment vertical="center" wrapText="1"/>
    </xf>
    <xf numFmtId="0" fontId="4" fillId="3" borderId="1" xfId="0" applyFont="1" applyFill="1" applyBorder="1" applyAlignment="1">
      <alignment vertical="center" wrapText="1"/>
    </xf>
    <xf numFmtId="0" fontId="6" fillId="3" borderId="3" xfId="0" applyFont="1" applyFill="1" applyBorder="1" applyAlignment="1">
      <alignment horizontal="right" vertical="center" wrapText="1"/>
    </xf>
    <xf numFmtId="0" fontId="7" fillId="3" borderId="1" xfId="0" applyFont="1" applyFill="1" applyBorder="1" applyAlignment="1">
      <alignment vertical="center" wrapText="1"/>
    </xf>
    <xf numFmtId="0" fontId="8" fillId="4" borderId="0" xfId="0" applyFont="1" applyFill="1" applyAlignment="1" applyProtection="1">
      <alignment horizontal="left" indent="1"/>
      <protection hidden="1"/>
    </xf>
    <xf numFmtId="0" fontId="3" fillId="4" borderId="0" xfId="0" applyFont="1" applyFill="1" applyAlignment="1" applyProtection="1">
      <alignment vertical="center" wrapText="1"/>
      <protection hidden="1"/>
    </xf>
    <xf numFmtId="0" fontId="9" fillId="4" borderId="0" xfId="0" applyFont="1" applyFill="1" applyAlignment="1" applyProtection="1">
      <alignment vertical="center"/>
      <protection hidden="1"/>
    </xf>
    <xf numFmtId="0" fontId="9" fillId="4" borderId="0" xfId="0" applyFont="1" applyFill="1" applyAlignment="1" applyProtection="1">
      <alignment horizontal="center" vertical="center" wrapText="1"/>
      <protection hidden="1"/>
    </xf>
    <xf numFmtId="0" fontId="9" fillId="4" borderId="0" xfId="0" applyFont="1" applyFill="1" applyAlignment="1" applyProtection="1">
      <alignment wrapText="1"/>
      <protection hidden="1"/>
    </xf>
    <xf numFmtId="0" fontId="9" fillId="4" borderId="0" xfId="0" applyFont="1" applyFill="1" applyProtection="1">
      <protection hidden="1"/>
    </xf>
    <xf numFmtId="0" fontId="3" fillId="4" borderId="0" xfId="0" applyFont="1" applyFill="1" applyAlignment="1" applyProtection="1">
      <alignment wrapText="1"/>
      <protection hidden="1"/>
    </xf>
    <xf numFmtId="0" fontId="3" fillId="4" borderId="0" xfId="0" applyFont="1" applyFill="1" applyProtection="1">
      <protection hidden="1"/>
    </xf>
    <xf numFmtId="0" fontId="10" fillId="7" borderId="11" xfId="0" applyFont="1" applyFill="1" applyBorder="1" applyAlignment="1">
      <alignment horizontal="right" vertical="center" wrapText="1"/>
    </xf>
    <xf numFmtId="0" fontId="10" fillId="7" borderId="12" xfId="0" applyFont="1" applyFill="1" applyBorder="1" applyAlignment="1">
      <alignment horizontal="right" vertical="center" wrapText="1"/>
    </xf>
    <xf numFmtId="0" fontId="10" fillId="8" borderId="17" xfId="0" applyFont="1" applyFill="1" applyBorder="1" applyAlignment="1" applyProtection="1">
      <alignment horizontal="center" vertical="center" wrapText="1"/>
      <protection hidden="1"/>
    </xf>
    <xf numFmtId="0" fontId="11" fillId="8" borderId="17" xfId="0" applyFont="1" applyFill="1" applyBorder="1" applyAlignment="1" applyProtection="1">
      <alignment horizontal="center" vertical="center" wrapText="1"/>
      <protection hidden="1"/>
    </xf>
    <xf numFmtId="0" fontId="10" fillId="8" borderId="18" xfId="0" applyFont="1" applyFill="1" applyBorder="1" applyAlignment="1" applyProtection="1">
      <alignment horizontal="right" vertical="center" wrapText="1"/>
      <protection hidden="1"/>
    </xf>
    <xf numFmtId="0" fontId="10" fillId="8" borderId="18" xfId="0" applyFont="1" applyFill="1" applyBorder="1" applyAlignment="1" applyProtection="1">
      <alignment horizontal="center" vertical="center" wrapText="1"/>
      <protection hidden="1"/>
    </xf>
    <xf numFmtId="0" fontId="10" fillId="7" borderId="19" xfId="0" applyFont="1" applyFill="1" applyBorder="1" applyAlignment="1">
      <alignment horizontal="right" vertical="center" wrapText="1"/>
    </xf>
    <xf numFmtId="0" fontId="10" fillId="7" borderId="22" xfId="0" applyFont="1" applyFill="1" applyBorder="1" applyAlignment="1">
      <alignment vertical="center" wrapText="1"/>
    </xf>
    <xf numFmtId="0" fontId="10" fillId="7" borderId="0" xfId="0" applyFont="1" applyFill="1" applyAlignment="1">
      <alignment horizontal="right" vertical="center"/>
    </xf>
    <xf numFmtId="0" fontId="10" fillId="7" borderId="0" xfId="0" applyFont="1" applyFill="1" applyAlignment="1">
      <alignment horizontal="center" vertical="center" wrapText="1"/>
    </xf>
    <xf numFmtId="0" fontId="10" fillId="7" borderId="23" xfId="0" applyFont="1" applyFill="1" applyBorder="1" applyAlignment="1">
      <alignment horizontal="center" vertical="center" wrapText="1"/>
    </xf>
    <xf numFmtId="4" fontId="10" fillId="9" borderId="24" xfId="0" applyNumberFormat="1" applyFont="1" applyFill="1" applyBorder="1" applyAlignment="1" applyProtection="1">
      <alignment horizontal="right" vertical="center" wrapText="1"/>
      <protection hidden="1"/>
    </xf>
    <xf numFmtId="4" fontId="10" fillId="9" borderId="24" xfId="0" applyNumberFormat="1" applyFont="1" applyFill="1" applyBorder="1" applyAlignment="1" applyProtection="1">
      <alignment horizontal="center" vertical="center" wrapText="1"/>
      <protection hidden="1"/>
    </xf>
    <xf numFmtId="0" fontId="3" fillId="10" borderId="24" xfId="0" applyFont="1" applyFill="1" applyBorder="1" applyAlignment="1" applyProtection="1">
      <alignment horizontal="center" vertical="center" wrapText="1"/>
      <protection hidden="1"/>
    </xf>
    <xf numFmtId="0" fontId="3" fillId="11" borderId="24" xfId="0" applyFont="1" applyFill="1" applyBorder="1" applyAlignment="1" applyProtection="1">
      <alignment horizontal="center" vertical="center" wrapText="1"/>
      <protection hidden="1"/>
    </xf>
    <xf numFmtId="0" fontId="3" fillId="12" borderId="24" xfId="0" applyFont="1" applyFill="1" applyBorder="1" applyAlignment="1" applyProtection="1">
      <alignment horizontal="center" vertical="center" wrapText="1"/>
      <protection hidden="1"/>
    </xf>
    <xf numFmtId="0" fontId="10" fillId="7" borderId="20" xfId="0" applyFont="1" applyFill="1" applyBorder="1" applyAlignment="1">
      <alignment horizontal="right" vertical="center" wrapText="1"/>
    </xf>
    <xf numFmtId="4" fontId="3" fillId="4" borderId="20" xfId="0" applyNumberFormat="1" applyFont="1" applyFill="1" applyBorder="1" applyAlignment="1" applyProtection="1">
      <alignment horizontal="center" vertical="center" wrapText="1"/>
      <protection locked="0"/>
    </xf>
    <xf numFmtId="4" fontId="10" fillId="13" borderId="20" xfId="0" applyNumberFormat="1" applyFont="1" applyFill="1" applyBorder="1" applyAlignment="1">
      <alignment horizontal="center" vertical="center" wrapText="1"/>
    </xf>
    <xf numFmtId="0" fontId="3" fillId="4" borderId="20" xfId="0" applyFont="1" applyFill="1" applyBorder="1" applyAlignment="1" applyProtection="1">
      <alignment horizontal="center" vertical="center" wrapText="1"/>
      <protection locked="0"/>
    </xf>
    <xf numFmtId="3" fontId="3" fillId="4" borderId="20" xfId="0" applyNumberFormat="1" applyFont="1" applyFill="1" applyBorder="1" applyAlignment="1" applyProtection="1">
      <alignment horizontal="center" vertical="center" wrapText="1"/>
      <protection locked="0"/>
    </xf>
    <xf numFmtId="4" fontId="11" fillId="13" borderId="21" xfId="0" applyNumberFormat="1" applyFont="1" applyFill="1" applyBorder="1" applyAlignment="1">
      <alignment horizontal="center" vertical="center" wrapText="1"/>
    </xf>
    <xf numFmtId="4" fontId="10" fillId="9" borderId="25" xfId="0" applyNumberFormat="1" applyFont="1" applyFill="1" applyBorder="1" applyAlignment="1" applyProtection="1">
      <alignment horizontal="right" vertical="center" wrapText="1"/>
      <protection hidden="1"/>
    </xf>
    <xf numFmtId="4" fontId="10" fillId="9" borderId="25" xfId="0" applyNumberFormat="1" applyFont="1" applyFill="1" applyBorder="1" applyAlignment="1" applyProtection="1">
      <alignment horizontal="center" vertical="center" wrapText="1"/>
      <protection hidden="1"/>
    </xf>
    <xf numFmtId="164" fontId="14" fillId="11" borderId="25" xfId="0" applyNumberFormat="1" applyFont="1" applyFill="1" applyBorder="1" applyAlignment="1" applyProtection="1">
      <alignment horizontal="center" vertical="center" wrapText="1"/>
      <protection hidden="1"/>
    </xf>
    <xf numFmtId="165" fontId="9" fillId="11" borderId="25" xfId="0" applyNumberFormat="1" applyFont="1" applyFill="1" applyBorder="1" applyAlignment="1" applyProtection="1">
      <alignment horizontal="center" vertical="center" wrapText="1"/>
      <protection hidden="1"/>
    </xf>
    <xf numFmtId="166" fontId="14" fillId="10" borderId="25" xfId="0" applyNumberFormat="1" applyFont="1" applyFill="1" applyBorder="1" applyAlignment="1" applyProtection="1">
      <alignment horizontal="center" vertical="center" wrapText="1"/>
      <protection hidden="1"/>
    </xf>
    <xf numFmtId="166" fontId="14" fillId="11" borderId="25" xfId="0" applyNumberFormat="1" applyFont="1" applyFill="1" applyBorder="1" applyAlignment="1" applyProtection="1">
      <alignment horizontal="center" vertical="center" wrapText="1"/>
      <protection hidden="1"/>
    </xf>
    <xf numFmtId="167" fontId="9" fillId="11" borderId="25" xfId="0" applyNumberFormat="1" applyFont="1" applyFill="1" applyBorder="1" applyAlignment="1" applyProtection="1">
      <alignment horizontal="center" vertical="center" wrapText="1"/>
      <protection hidden="1"/>
    </xf>
    <xf numFmtId="0" fontId="3" fillId="12" borderId="25" xfId="0" applyFont="1" applyFill="1" applyBorder="1" applyAlignment="1" applyProtection="1">
      <alignment horizontal="center" vertical="center" wrapText="1"/>
      <protection hidden="1"/>
    </xf>
    <xf numFmtId="0" fontId="3" fillId="10" borderId="25" xfId="0" applyFont="1" applyFill="1" applyBorder="1" applyAlignment="1" applyProtection="1">
      <alignment horizontal="center" vertical="center" wrapText="1"/>
      <protection hidden="1"/>
    </xf>
    <xf numFmtId="0" fontId="10" fillId="7" borderId="26" xfId="0" applyFont="1" applyFill="1" applyBorder="1" applyAlignment="1">
      <alignment horizontal="right" vertical="center" wrapText="1"/>
    </xf>
    <xf numFmtId="0" fontId="3" fillId="4" borderId="27" xfId="0" applyFont="1" applyFill="1" applyBorder="1" applyAlignment="1" applyProtection="1">
      <alignment horizontal="center" vertical="center" wrapText="1"/>
      <protection locked="0"/>
    </xf>
    <xf numFmtId="3" fontId="3" fillId="4" borderId="27" xfId="0" applyNumberFormat="1" applyFont="1" applyFill="1" applyBorder="1" applyAlignment="1" applyProtection="1">
      <alignment horizontal="center" vertical="center" wrapText="1"/>
      <protection locked="0"/>
    </xf>
    <xf numFmtId="4" fontId="10" fillId="13" borderId="28" xfId="0" applyNumberFormat="1" applyFont="1" applyFill="1" applyBorder="1" applyAlignment="1">
      <alignment horizontal="center" vertical="center" wrapText="1"/>
    </xf>
    <xf numFmtId="165" fontId="14" fillId="11" borderId="25" xfId="0" applyNumberFormat="1" applyFont="1" applyFill="1" applyBorder="1" applyAlignment="1" applyProtection="1">
      <alignment horizontal="center" vertical="center" wrapText="1"/>
      <protection hidden="1"/>
    </xf>
    <xf numFmtId="168" fontId="14" fillId="10" borderId="25" xfId="0" applyNumberFormat="1" applyFont="1" applyFill="1" applyBorder="1" applyAlignment="1" applyProtection="1">
      <alignment horizontal="center" vertical="center" wrapText="1"/>
      <protection hidden="1"/>
    </xf>
    <xf numFmtId="169" fontId="14" fillId="10" borderId="25" xfId="0" applyNumberFormat="1" applyFont="1" applyFill="1" applyBorder="1" applyAlignment="1" applyProtection="1">
      <alignment horizontal="center" vertical="center" wrapText="1"/>
      <protection hidden="1"/>
    </xf>
    <xf numFmtId="4" fontId="3" fillId="14" borderId="20" xfId="0" applyNumberFormat="1" applyFont="1" applyFill="1" applyBorder="1" applyAlignment="1" applyProtection="1">
      <alignment horizontal="center" vertical="center" wrapText="1"/>
      <protection locked="0"/>
    </xf>
    <xf numFmtId="0" fontId="10" fillId="15" borderId="29" xfId="0" applyFont="1" applyFill="1" applyBorder="1" applyAlignment="1">
      <alignment horizontal="right" vertical="center" wrapText="1"/>
    </xf>
    <xf numFmtId="0" fontId="3" fillId="15" borderId="0" xfId="0" applyFont="1" applyFill="1" applyAlignment="1" applyProtection="1">
      <alignment horizontal="center" vertical="center" wrapText="1"/>
      <protection locked="0"/>
    </xf>
    <xf numFmtId="3" fontId="3" fillId="15" borderId="0" xfId="0" applyNumberFormat="1" applyFont="1" applyFill="1" applyAlignment="1" applyProtection="1">
      <alignment horizontal="center" vertical="center" wrapText="1"/>
      <protection locked="0"/>
    </xf>
    <xf numFmtId="4" fontId="10" fillId="15" borderId="0" xfId="0" applyNumberFormat="1" applyFont="1" applyFill="1" applyAlignment="1">
      <alignment horizontal="center" vertical="center" wrapText="1"/>
    </xf>
    <xf numFmtId="170" fontId="9" fillId="4" borderId="0" xfId="0" applyNumberFormat="1" applyFont="1" applyFill="1" applyAlignment="1" applyProtection="1">
      <alignment wrapText="1"/>
      <protection hidden="1"/>
    </xf>
    <xf numFmtId="164" fontId="9" fillId="11" borderId="25" xfId="0" applyNumberFormat="1" applyFont="1" applyFill="1" applyBorder="1" applyAlignment="1" applyProtection="1">
      <alignment horizontal="center" vertical="center" wrapText="1"/>
      <protection hidden="1"/>
    </xf>
    <xf numFmtId="0" fontId="11" fillId="7" borderId="0" xfId="0" applyFont="1" applyFill="1" applyAlignment="1">
      <alignment horizontal="center" vertical="center" wrapText="1"/>
    </xf>
    <xf numFmtId="4" fontId="14" fillId="10" borderId="25" xfId="0" applyNumberFormat="1" applyFont="1" applyFill="1" applyBorder="1" applyAlignment="1" applyProtection="1">
      <alignment horizontal="center" vertical="center" wrapText="1"/>
      <protection hidden="1"/>
    </xf>
    <xf numFmtId="166" fontId="17" fillId="11" borderId="25" xfId="2" applyNumberFormat="1" applyFont="1" applyFill="1" applyBorder="1" applyAlignment="1" applyProtection="1">
      <alignment horizontal="center" vertical="center" wrapText="1"/>
      <protection hidden="1"/>
    </xf>
    <xf numFmtId="166" fontId="9" fillId="11" borderId="25" xfId="0" applyNumberFormat="1" applyFont="1" applyFill="1" applyBorder="1" applyAlignment="1" applyProtection="1">
      <alignment horizontal="center" vertical="center" wrapText="1"/>
      <protection hidden="1"/>
    </xf>
    <xf numFmtId="4" fontId="10" fillId="13" borderId="21" xfId="0" applyNumberFormat="1" applyFont="1" applyFill="1" applyBorder="1" applyAlignment="1">
      <alignment horizontal="center" vertical="center" wrapText="1"/>
    </xf>
    <xf numFmtId="4" fontId="11" fillId="9" borderId="25" xfId="0" applyNumberFormat="1" applyFont="1" applyFill="1" applyBorder="1" applyAlignment="1" applyProtection="1">
      <alignment horizontal="center" vertical="center" wrapText="1"/>
      <protection hidden="1"/>
    </xf>
    <xf numFmtId="166" fontId="9" fillId="10" borderId="25" xfId="0" applyNumberFormat="1" applyFont="1" applyFill="1" applyBorder="1" applyAlignment="1" applyProtection="1">
      <alignment horizontal="center" vertical="center" wrapText="1"/>
      <protection hidden="1"/>
    </xf>
    <xf numFmtId="165" fontId="18" fillId="10" borderId="25" xfId="0" applyNumberFormat="1" applyFont="1" applyFill="1" applyBorder="1" applyAlignment="1" applyProtection="1">
      <alignment horizontal="center" vertical="center" wrapText="1"/>
      <protection hidden="1"/>
    </xf>
    <xf numFmtId="169" fontId="18" fillId="10" borderId="25" xfId="0" applyNumberFormat="1" applyFont="1" applyFill="1" applyBorder="1" applyAlignment="1" applyProtection="1">
      <alignment horizontal="center" vertical="center" wrapText="1"/>
      <protection hidden="1"/>
    </xf>
    <xf numFmtId="0" fontId="10" fillId="8" borderId="0" xfId="0" applyFont="1" applyFill="1" applyAlignment="1" applyProtection="1">
      <alignment horizontal="center" vertical="center" wrapText="1"/>
      <protection hidden="1"/>
    </xf>
    <xf numFmtId="0" fontId="3" fillId="2" borderId="35" xfId="0" applyFont="1" applyFill="1" applyBorder="1" applyAlignment="1">
      <alignment vertical="center" wrapText="1"/>
    </xf>
    <xf numFmtId="0" fontId="3" fillId="15" borderId="36" xfId="0" applyFont="1" applyFill="1" applyBorder="1" applyAlignment="1">
      <alignment vertical="center" wrapText="1"/>
    </xf>
    <xf numFmtId="165" fontId="14" fillId="10" borderId="25" xfId="0" applyNumberFormat="1" applyFont="1" applyFill="1" applyBorder="1" applyAlignment="1" applyProtection="1">
      <alignment horizontal="center" vertical="center" wrapText="1"/>
      <protection hidden="1"/>
    </xf>
    <xf numFmtId="4" fontId="11" fillId="9" borderId="25" xfId="0" applyNumberFormat="1" applyFont="1" applyFill="1" applyBorder="1" applyAlignment="1" applyProtection="1">
      <alignment horizontal="right" vertical="center" wrapText="1"/>
      <protection hidden="1"/>
    </xf>
    <xf numFmtId="0" fontId="18" fillId="12" borderId="25" xfId="0" applyFont="1" applyFill="1" applyBorder="1" applyAlignment="1" applyProtection="1">
      <alignment horizontal="center" vertical="center" wrapText="1"/>
      <protection hidden="1"/>
    </xf>
    <xf numFmtId="172" fontId="18" fillId="10" borderId="25" xfId="0" applyNumberFormat="1" applyFont="1" applyFill="1" applyBorder="1" applyAlignment="1" applyProtection="1">
      <alignment horizontal="center" vertical="center" wrapText="1"/>
      <protection hidden="1"/>
    </xf>
    <xf numFmtId="0" fontId="18" fillId="10" borderId="25" xfId="0" applyFont="1" applyFill="1" applyBorder="1" applyAlignment="1" applyProtection="1">
      <alignment horizontal="center" vertical="center" wrapText="1"/>
      <protection hidden="1"/>
    </xf>
    <xf numFmtId="170" fontId="18" fillId="12" borderId="25" xfId="0" applyNumberFormat="1" applyFont="1" applyFill="1" applyBorder="1" applyAlignment="1" applyProtection="1">
      <alignment horizontal="center" vertical="center" wrapText="1"/>
      <protection hidden="1"/>
    </xf>
    <xf numFmtId="4" fontId="10" fillId="9" borderId="40" xfId="0" applyNumberFormat="1" applyFont="1" applyFill="1" applyBorder="1" applyAlignment="1" applyProtection="1">
      <alignment horizontal="right" vertical="center" wrapText="1"/>
      <protection hidden="1"/>
    </xf>
    <xf numFmtId="4" fontId="10" fillId="9" borderId="40" xfId="0" applyNumberFormat="1" applyFont="1" applyFill="1" applyBorder="1" applyAlignment="1" applyProtection="1">
      <alignment horizontal="center" vertical="center" wrapText="1"/>
      <protection hidden="1"/>
    </xf>
    <xf numFmtId="165" fontId="14" fillId="11" borderId="40" xfId="0" applyNumberFormat="1" applyFont="1" applyFill="1" applyBorder="1" applyAlignment="1" applyProtection="1">
      <alignment horizontal="center" vertical="center" wrapText="1"/>
      <protection hidden="1"/>
    </xf>
    <xf numFmtId="166" fontId="14" fillId="11" borderId="40" xfId="0" applyNumberFormat="1" applyFont="1" applyFill="1" applyBorder="1" applyAlignment="1" applyProtection="1">
      <alignment horizontal="center" vertical="center" wrapText="1"/>
      <protection hidden="1"/>
    </xf>
    <xf numFmtId="0" fontId="10" fillId="7" borderId="20" xfId="0" applyFont="1" applyFill="1" applyBorder="1" applyAlignment="1">
      <alignment horizontal="center" vertical="center" wrapText="1"/>
    </xf>
    <xf numFmtId="0" fontId="10" fillId="7" borderId="19" xfId="0" applyFont="1" applyFill="1" applyBorder="1" applyAlignment="1">
      <alignment horizontal="center" vertical="center" wrapText="1"/>
    </xf>
    <xf numFmtId="4" fontId="3" fillId="4" borderId="0" xfId="0" applyNumberFormat="1" applyFont="1" applyFill="1" applyAlignment="1" applyProtection="1">
      <alignment vertical="center" wrapText="1"/>
      <protection hidden="1"/>
    </xf>
    <xf numFmtId="166" fontId="3" fillId="4" borderId="0" xfId="0" applyNumberFormat="1" applyFont="1" applyFill="1" applyAlignment="1" applyProtection="1">
      <alignment vertical="center" wrapText="1"/>
      <protection hidden="1"/>
    </xf>
    <xf numFmtId="4" fontId="19" fillId="9" borderId="25" xfId="0" applyNumberFormat="1" applyFont="1" applyFill="1" applyBorder="1" applyAlignment="1" applyProtection="1">
      <alignment horizontal="right" vertical="center" wrapText="1"/>
      <protection hidden="1"/>
    </xf>
    <xf numFmtId="0" fontId="9" fillId="12" borderId="25" xfId="0" applyFont="1" applyFill="1" applyBorder="1" applyAlignment="1" applyProtection="1">
      <alignment horizontal="center" vertical="center" wrapText="1"/>
      <protection hidden="1"/>
    </xf>
    <xf numFmtId="0" fontId="9" fillId="10" borderId="25" xfId="0" applyFont="1" applyFill="1" applyBorder="1" applyAlignment="1" applyProtection="1">
      <alignment horizontal="center" vertical="center" wrapText="1"/>
      <protection hidden="1"/>
    </xf>
    <xf numFmtId="4" fontId="3" fillId="14" borderId="20" xfId="0" applyNumberFormat="1" applyFont="1" applyFill="1" applyBorder="1" applyAlignment="1" applyProtection="1">
      <alignment vertical="center" wrapText="1"/>
      <protection locked="0"/>
    </xf>
    <xf numFmtId="3" fontId="3" fillId="14" borderId="20" xfId="0" applyNumberFormat="1" applyFont="1" applyFill="1" applyBorder="1" applyAlignment="1" applyProtection="1">
      <alignment horizontal="center" vertical="center" wrapText="1"/>
      <protection locked="0"/>
    </xf>
    <xf numFmtId="3" fontId="3" fillId="14" borderId="21" xfId="0" applyNumberFormat="1" applyFont="1" applyFill="1" applyBorder="1" applyAlignment="1" applyProtection="1">
      <alignment horizontal="center" vertical="center" wrapText="1"/>
      <protection locked="0"/>
    </xf>
    <xf numFmtId="4" fontId="18" fillId="14" borderId="20" xfId="0" applyNumberFormat="1" applyFont="1" applyFill="1" applyBorder="1" applyAlignment="1" applyProtection="1">
      <alignment vertical="center" wrapText="1"/>
      <protection locked="0"/>
    </xf>
    <xf numFmtId="0" fontId="20" fillId="18" borderId="14" xfId="0" applyFont="1" applyFill="1" applyBorder="1" applyAlignment="1" applyProtection="1">
      <alignment horizontal="center" vertical="center" wrapText="1"/>
      <protection hidden="1"/>
    </xf>
    <xf numFmtId="0" fontId="21" fillId="4" borderId="0" xfId="0" applyFont="1" applyFill="1" applyProtection="1">
      <protection hidden="1"/>
    </xf>
    <xf numFmtId="3" fontId="3" fillId="14" borderId="28" xfId="0" applyNumberFormat="1" applyFont="1" applyFill="1" applyBorder="1" applyAlignment="1" applyProtection="1">
      <alignment horizontal="center" vertical="center" wrapText="1"/>
      <protection locked="0"/>
    </xf>
    <xf numFmtId="166" fontId="11" fillId="13" borderId="27" xfId="0" applyNumberFormat="1" applyFont="1" applyFill="1" applyBorder="1" applyAlignment="1">
      <alignment horizontal="center" vertical="center" wrapText="1"/>
    </xf>
    <xf numFmtId="173" fontId="11" fillId="13" borderId="28" xfId="0" applyNumberFormat="1" applyFont="1" applyFill="1" applyBorder="1" applyAlignment="1">
      <alignment horizontal="center" vertical="center" wrapText="1"/>
    </xf>
    <xf numFmtId="4" fontId="10" fillId="9" borderId="24" xfId="0" applyNumberFormat="1" applyFont="1" applyFill="1" applyBorder="1" applyAlignment="1" applyProtection="1">
      <alignment vertical="center" wrapText="1"/>
      <protection hidden="1"/>
    </xf>
    <xf numFmtId="0" fontId="10" fillId="9" borderId="24" xfId="0" applyFont="1" applyFill="1" applyBorder="1" applyAlignment="1" applyProtection="1">
      <alignment horizontal="center" vertical="center" wrapText="1"/>
      <protection hidden="1"/>
    </xf>
    <xf numFmtId="0" fontId="11" fillId="9" borderId="0" xfId="0" applyFont="1" applyFill="1" applyAlignment="1" applyProtection="1">
      <alignment horizontal="center" vertical="center" wrapText="1"/>
      <protection hidden="1"/>
    </xf>
    <xf numFmtId="0" fontId="11" fillId="9" borderId="0" xfId="0" applyFont="1" applyFill="1" applyAlignment="1" applyProtection="1">
      <alignment horizontal="center" wrapText="1"/>
      <protection hidden="1"/>
    </xf>
    <xf numFmtId="0" fontId="3" fillId="19" borderId="8" xfId="0" applyFont="1" applyFill="1" applyBorder="1" applyAlignment="1" applyProtection="1">
      <alignment vertical="center" wrapText="1"/>
      <protection hidden="1"/>
    </xf>
    <xf numFmtId="0" fontId="22" fillId="19" borderId="8" xfId="0" applyFont="1" applyFill="1" applyBorder="1" applyAlignment="1" applyProtection="1">
      <alignment horizontal="right" vertical="center"/>
      <protection hidden="1"/>
    </xf>
    <xf numFmtId="3" fontId="23" fillId="19" borderId="42" xfId="0" applyNumberFormat="1" applyFont="1" applyFill="1" applyBorder="1" applyAlignment="1" applyProtection="1">
      <alignment horizontal="center" vertical="center"/>
      <protection hidden="1"/>
    </xf>
    <xf numFmtId="3" fontId="23" fillId="19" borderId="18" xfId="0" applyNumberFormat="1" applyFont="1" applyFill="1" applyBorder="1" applyAlignment="1" applyProtection="1">
      <alignment horizontal="center" vertical="center"/>
      <protection hidden="1"/>
    </xf>
    <xf numFmtId="166" fontId="23" fillId="19" borderId="18" xfId="0" applyNumberFormat="1" applyFont="1" applyFill="1" applyBorder="1" applyAlignment="1" applyProtection="1">
      <alignment horizontal="center" vertical="center"/>
      <protection hidden="1"/>
    </xf>
    <xf numFmtId="0" fontId="3" fillId="4" borderId="0" xfId="0" applyFont="1" applyFill="1" applyAlignment="1" applyProtection="1">
      <alignment horizontal="left"/>
      <protection hidden="1"/>
    </xf>
    <xf numFmtId="0" fontId="10" fillId="2" borderId="2" xfId="0" applyFont="1" applyFill="1" applyBorder="1" applyAlignment="1">
      <alignment horizontal="right" vertical="center" wrapText="1"/>
    </xf>
    <xf numFmtId="4" fontId="3" fillId="2" borderId="2" xfId="0" applyNumberFormat="1" applyFont="1" applyFill="1" applyBorder="1" applyAlignment="1">
      <alignment horizontal="center" vertical="center" wrapText="1"/>
    </xf>
    <xf numFmtId="0" fontId="16" fillId="2" borderId="2" xfId="0" applyFont="1" applyFill="1" applyBorder="1" applyAlignment="1">
      <alignment horizontal="left" vertical="center" wrapText="1"/>
    </xf>
    <xf numFmtId="0" fontId="3" fillId="2" borderId="2" xfId="0" applyFont="1" applyFill="1" applyBorder="1" applyAlignment="1">
      <alignment vertical="center" wrapText="1"/>
    </xf>
    <xf numFmtId="3" fontId="3" fillId="2" borderId="2" xfId="0" applyNumberFormat="1" applyFont="1" applyFill="1" applyBorder="1" applyAlignment="1">
      <alignment horizontal="center" vertical="center" wrapText="1"/>
    </xf>
    <xf numFmtId="173" fontId="3" fillId="2" borderId="2" xfId="0" applyNumberFormat="1" applyFont="1" applyFill="1" applyBorder="1" applyAlignment="1">
      <alignment horizontal="center" vertical="center" wrapText="1"/>
    </xf>
    <xf numFmtId="4" fontId="10" fillId="9" borderId="20" xfId="0" applyNumberFormat="1" applyFont="1" applyFill="1" applyBorder="1" applyAlignment="1" applyProtection="1">
      <alignment horizontal="right" vertical="center" wrapText="1"/>
      <protection hidden="1"/>
    </xf>
    <xf numFmtId="0" fontId="24" fillId="12" borderId="20" xfId="0" applyFont="1" applyFill="1" applyBorder="1" applyAlignment="1" applyProtection="1">
      <alignment horizontal="center" vertical="center" wrapText="1"/>
      <protection hidden="1"/>
    </xf>
    <xf numFmtId="174" fontId="24" fillId="12" borderId="20" xfId="0" applyNumberFormat="1" applyFont="1" applyFill="1" applyBorder="1" applyAlignment="1" applyProtection="1">
      <alignment horizontal="center" vertical="center" wrapText="1"/>
      <protection hidden="1"/>
    </xf>
    <xf numFmtId="166" fontId="24" fillId="12" borderId="20" xfId="0" applyNumberFormat="1" applyFont="1" applyFill="1" applyBorder="1" applyAlignment="1" applyProtection="1">
      <alignment horizontal="center" vertical="center" wrapText="1"/>
      <protection hidden="1"/>
    </xf>
    <xf numFmtId="165" fontId="24" fillId="12" borderId="20" xfId="0" applyNumberFormat="1" applyFont="1" applyFill="1" applyBorder="1" applyAlignment="1" applyProtection="1">
      <alignment horizontal="center" vertical="center" wrapText="1"/>
      <protection hidden="1"/>
    </xf>
    <xf numFmtId="0" fontId="25" fillId="4" borderId="0" xfId="0" applyFont="1" applyFill="1" applyAlignment="1" applyProtection="1">
      <alignment vertical="center" wrapText="1"/>
      <protection hidden="1"/>
    </xf>
    <xf numFmtId="0" fontId="3" fillId="19" borderId="18" xfId="0" applyFont="1" applyFill="1" applyBorder="1" applyAlignment="1" applyProtection="1">
      <alignment vertical="center" wrapText="1"/>
      <protection hidden="1"/>
    </xf>
    <xf numFmtId="0" fontId="22" fillId="19" borderId="18" xfId="0" applyFont="1" applyFill="1" applyBorder="1" applyAlignment="1" applyProtection="1">
      <alignment horizontal="right" vertical="center"/>
      <protection hidden="1"/>
    </xf>
    <xf numFmtId="166" fontId="23" fillId="19" borderId="42" xfId="0" applyNumberFormat="1" applyFont="1" applyFill="1" applyBorder="1" applyAlignment="1" applyProtection="1">
      <alignment horizontal="center" vertical="center"/>
      <protection hidden="1"/>
    </xf>
    <xf numFmtId="0" fontId="18" fillId="4" borderId="0" xfId="0" applyFont="1" applyFill="1" applyProtection="1">
      <protection hidden="1"/>
    </xf>
    <xf numFmtId="168" fontId="3" fillId="4" borderId="0" xfId="0" applyNumberFormat="1" applyFont="1" applyFill="1" applyAlignment="1" applyProtection="1">
      <alignment wrapText="1"/>
      <protection hidden="1"/>
    </xf>
    <xf numFmtId="0" fontId="27" fillId="20" borderId="3" xfId="0" applyFont="1" applyFill="1" applyBorder="1" applyAlignment="1">
      <alignment horizontal="right" vertical="center" wrapText="1"/>
    </xf>
    <xf numFmtId="175" fontId="24" fillId="12" borderId="20" xfId="0" applyNumberFormat="1" applyFont="1" applyFill="1" applyBorder="1" applyAlignment="1" applyProtection="1">
      <alignment horizontal="center" vertical="center" wrapText="1"/>
      <protection hidden="1"/>
    </xf>
    <xf numFmtId="176" fontId="24" fillId="12" borderId="20" xfId="0" applyNumberFormat="1" applyFont="1" applyFill="1" applyBorder="1" applyAlignment="1" applyProtection="1">
      <alignment horizontal="center" vertical="center" wrapText="1"/>
      <protection hidden="1"/>
    </xf>
    <xf numFmtId="168" fontId="24" fillId="12" borderId="20" xfId="0" applyNumberFormat="1" applyFont="1" applyFill="1" applyBorder="1" applyAlignment="1" applyProtection="1">
      <alignment horizontal="center" vertical="center" wrapText="1"/>
      <protection hidden="1"/>
    </xf>
    <xf numFmtId="0" fontId="3" fillId="19" borderId="44" xfId="0" applyFont="1" applyFill="1" applyBorder="1" applyAlignment="1" applyProtection="1">
      <alignment vertical="center" wrapText="1"/>
      <protection hidden="1"/>
    </xf>
    <xf numFmtId="0" fontId="22" fillId="19" borderId="44" xfId="0" applyFont="1" applyFill="1" applyBorder="1" applyAlignment="1" applyProtection="1">
      <alignment horizontal="right" vertical="center"/>
      <protection hidden="1"/>
    </xf>
    <xf numFmtId="0" fontId="22" fillId="19" borderId="45" xfId="0" applyFont="1" applyFill="1" applyBorder="1" applyProtection="1">
      <protection hidden="1"/>
    </xf>
    <xf numFmtId="4" fontId="23" fillId="19" borderId="44" xfId="0" applyNumberFormat="1" applyFont="1" applyFill="1" applyBorder="1" applyAlignment="1" applyProtection="1">
      <alignment horizontal="center" vertical="center"/>
      <protection hidden="1"/>
    </xf>
    <xf numFmtId="170" fontId="23" fillId="19" borderId="44" xfId="0" applyNumberFormat="1" applyFont="1" applyFill="1" applyBorder="1" applyAlignment="1" applyProtection="1">
      <alignment horizontal="center" vertical="center"/>
      <protection hidden="1"/>
    </xf>
    <xf numFmtId="166" fontId="23" fillId="19" borderId="44" xfId="0" applyNumberFormat="1" applyFont="1" applyFill="1" applyBorder="1" applyAlignment="1" applyProtection="1">
      <alignment horizontal="center" vertical="center"/>
      <protection hidden="1"/>
    </xf>
    <xf numFmtId="4" fontId="3" fillId="4" borderId="0" xfId="0" applyNumberFormat="1" applyFont="1" applyFill="1" applyAlignment="1" applyProtection="1">
      <alignment wrapText="1"/>
      <protection hidden="1"/>
    </xf>
    <xf numFmtId="0" fontId="3" fillId="19" borderId="46" xfId="0" applyFont="1" applyFill="1" applyBorder="1" applyAlignment="1">
      <alignment vertical="center" wrapText="1"/>
    </xf>
    <xf numFmtId="0" fontId="3" fillId="19" borderId="43" xfId="0" applyFont="1" applyFill="1" applyBorder="1" applyAlignment="1">
      <alignment vertical="center" wrapText="1"/>
    </xf>
    <xf numFmtId="0" fontId="3" fillId="19" borderId="47" xfId="0" applyFont="1" applyFill="1" applyBorder="1" applyAlignment="1">
      <alignment vertical="center" wrapText="1"/>
    </xf>
    <xf numFmtId="164" fontId="24" fillId="12" borderId="20" xfId="0" applyNumberFormat="1" applyFont="1" applyFill="1" applyBorder="1" applyAlignment="1" applyProtection="1">
      <alignment horizontal="center" vertical="center" wrapText="1"/>
      <protection hidden="1"/>
    </xf>
    <xf numFmtId="0" fontId="22" fillId="4" borderId="0" xfId="0" applyFont="1" applyFill="1" applyAlignment="1" applyProtection="1">
      <alignment horizontal="right" vertical="center"/>
      <protection hidden="1"/>
    </xf>
    <xf numFmtId="0" fontId="23" fillId="4" borderId="0" xfId="0" applyFont="1" applyFill="1" applyAlignment="1" applyProtection="1">
      <alignment vertical="center" wrapText="1"/>
      <protection hidden="1"/>
    </xf>
    <xf numFmtId="0" fontId="23" fillId="4" borderId="0" xfId="0" applyFont="1" applyFill="1" applyAlignment="1" applyProtection="1">
      <alignment wrapText="1"/>
      <protection hidden="1"/>
    </xf>
    <xf numFmtId="0" fontId="10" fillId="22" borderId="19" xfId="0" applyFont="1" applyFill="1" applyBorder="1" applyAlignment="1">
      <alignment horizontal="center" vertical="center" wrapText="1"/>
    </xf>
    <xf numFmtId="4" fontId="10" fillId="22" borderId="20" xfId="0" applyNumberFormat="1" applyFont="1" applyFill="1" applyBorder="1" applyAlignment="1">
      <alignment horizontal="center" vertical="center" wrapText="1"/>
    </xf>
    <xf numFmtId="4" fontId="10" fillId="22" borderId="21" xfId="0" applyNumberFormat="1" applyFont="1" applyFill="1" applyBorder="1" applyAlignment="1">
      <alignment horizontal="center" vertical="center" wrapText="1"/>
    </xf>
    <xf numFmtId="0" fontId="3" fillId="19" borderId="22" xfId="0" applyFont="1" applyFill="1" applyBorder="1" applyAlignment="1">
      <alignment vertical="center" wrapText="1"/>
    </xf>
    <xf numFmtId="0" fontId="9" fillId="19" borderId="0" xfId="0" applyFont="1" applyFill="1" applyAlignment="1">
      <alignment vertical="center" wrapText="1"/>
    </xf>
    <xf numFmtId="0" fontId="3" fillId="19" borderId="0" xfId="0" applyFont="1" applyFill="1" applyAlignment="1">
      <alignment vertical="center" wrapText="1"/>
    </xf>
    <xf numFmtId="0" fontId="3" fillId="19" borderId="23" xfId="0" applyFont="1" applyFill="1" applyBorder="1" applyAlignment="1">
      <alignment vertical="center" wrapText="1"/>
    </xf>
    <xf numFmtId="0" fontId="28" fillId="22" borderId="19" xfId="0" applyFont="1" applyFill="1" applyBorder="1" applyAlignment="1">
      <alignment vertical="center" wrapText="1"/>
    </xf>
    <xf numFmtId="0" fontId="28" fillId="22" borderId="20" xfId="0" applyFont="1" applyFill="1" applyBorder="1" applyAlignment="1">
      <alignment vertical="center" wrapText="1"/>
    </xf>
    <xf numFmtId="0" fontId="28" fillId="22" borderId="20" xfId="0" applyFont="1" applyFill="1" applyBorder="1" applyAlignment="1">
      <alignment horizontal="center" vertical="center" wrapText="1"/>
    </xf>
    <xf numFmtId="0" fontId="28" fillId="22" borderId="21" xfId="0" applyFont="1" applyFill="1" applyBorder="1" applyAlignment="1">
      <alignment horizontal="center" vertical="center" wrapText="1"/>
    </xf>
    <xf numFmtId="0" fontId="3" fillId="2" borderId="0" xfId="0" applyFont="1" applyFill="1" applyAlignment="1">
      <alignment horizontal="center" vertical="center" wrapText="1"/>
    </xf>
    <xf numFmtId="0" fontId="11" fillId="22" borderId="19" xfId="0" applyFont="1" applyFill="1" applyBorder="1" applyAlignment="1">
      <alignment horizontal="right" vertical="center" wrapText="1"/>
    </xf>
    <xf numFmtId="4" fontId="18" fillId="23" borderId="20" xfId="0" applyNumberFormat="1" applyFont="1" applyFill="1" applyBorder="1" applyAlignment="1">
      <alignment horizontal="center" vertical="center" wrapText="1"/>
    </xf>
    <xf numFmtId="4" fontId="3" fillId="24" borderId="21" xfId="0" applyNumberFormat="1" applyFont="1" applyFill="1" applyBorder="1" applyAlignment="1">
      <alignment horizontal="center" vertical="center" wrapText="1"/>
    </xf>
    <xf numFmtId="0" fontId="3" fillId="19" borderId="22" xfId="0" applyFont="1" applyFill="1" applyBorder="1" applyAlignment="1">
      <alignment horizontal="center" wrapText="1"/>
    </xf>
    <xf numFmtId="0" fontId="29" fillId="19" borderId="0" xfId="0" applyFont="1" applyFill="1" applyAlignment="1">
      <alignment vertical="center" wrapText="1"/>
    </xf>
    <xf numFmtId="0" fontId="3" fillId="19" borderId="0" xfId="0" applyFont="1" applyFill="1" applyAlignment="1">
      <alignment horizontal="center" wrapText="1"/>
    </xf>
    <xf numFmtId="0" fontId="30" fillId="19" borderId="23" xfId="0" applyFont="1" applyFill="1" applyBorder="1" applyAlignment="1">
      <alignment vertical="center" wrapText="1"/>
    </xf>
    <xf numFmtId="166" fontId="3" fillId="24" borderId="20" xfId="0" applyNumberFormat="1" applyFont="1" applyFill="1" applyBorder="1" applyAlignment="1">
      <alignment horizontal="center" vertical="center" wrapText="1"/>
    </xf>
    <xf numFmtId="166" fontId="18" fillId="24" borderId="21" xfId="0" applyNumberFormat="1" applyFont="1" applyFill="1" applyBorder="1" applyAlignment="1">
      <alignment horizontal="center" vertical="center" wrapText="1"/>
    </xf>
    <xf numFmtId="0" fontId="22" fillId="19" borderId="48" xfId="0" applyFont="1" applyFill="1" applyBorder="1" applyAlignment="1" applyProtection="1">
      <alignment horizontal="right" vertical="center"/>
      <protection hidden="1"/>
    </xf>
    <xf numFmtId="177" fontId="23" fillId="19" borderId="49" xfId="0" applyNumberFormat="1" applyFont="1" applyFill="1" applyBorder="1" applyAlignment="1" applyProtection="1">
      <alignment horizontal="center" vertical="center"/>
      <protection hidden="1"/>
    </xf>
    <xf numFmtId="4" fontId="23" fillId="19" borderId="49" xfId="0" applyNumberFormat="1" applyFont="1" applyFill="1" applyBorder="1" applyAlignment="1" applyProtection="1">
      <alignment horizontal="center" vertical="center"/>
      <protection hidden="1"/>
    </xf>
    <xf numFmtId="4" fontId="23" fillId="19" borderId="48" xfId="0" applyNumberFormat="1" applyFont="1" applyFill="1" applyBorder="1" applyAlignment="1" applyProtection="1">
      <alignment horizontal="center" vertical="center"/>
      <protection hidden="1"/>
    </xf>
    <xf numFmtId="165" fontId="23" fillId="19" borderId="48" xfId="0" applyNumberFormat="1" applyFont="1" applyFill="1" applyBorder="1" applyAlignment="1" applyProtection="1">
      <alignment horizontal="right" vertical="center"/>
      <protection hidden="1"/>
    </xf>
    <xf numFmtId="165" fontId="23" fillId="19" borderId="48" xfId="0" applyNumberFormat="1" applyFont="1" applyFill="1" applyBorder="1" applyAlignment="1" applyProtection="1">
      <alignment horizontal="center" vertical="center"/>
      <protection hidden="1"/>
    </xf>
    <xf numFmtId="0" fontId="3" fillId="4" borderId="0" xfId="0" applyFont="1" applyFill="1" applyAlignment="1" applyProtection="1">
      <alignment horizontal="center" wrapText="1"/>
      <protection hidden="1"/>
    </xf>
    <xf numFmtId="176" fontId="18" fillId="24" borderId="20" xfId="0" applyNumberFormat="1" applyFont="1" applyFill="1" applyBorder="1" applyAlignment="1">
      <alignment horizontal="center" vertical="center" wrapText="1"/>
    </xf>
    <xf numFmtId="176" fontId="3" fillId="24" borderId="21" xfId="0" applyNumberFormat="1" applyFont="1" applyFill="1" applyBorder="1" applyAlignment="1">
      <alignment horizontal="center" vertical="center" wrapText="1"/>
    </xf>
    <xf numFmtId="0" fontId="29" fillId="19" borderId="0" xfId="0" applyFont="1" applyFill="1" applyAlignment="1">
      <alignment horizontal="center" wrapText="1"/>
    </xf>
    <xf numFmtId="10" fontId="29" fillId="19" borderId="0" xfId="1" applyNumberFormat="1" applyFont="1" applyFill="1" applyAlignment="1">
      <alignment horizontal="center" wrapText="1"/>
    </xf>
    <xf numFmtId="166" fontId="3" fillId="24" borderId="21" xfId="0" applyNumberFormat="1" applyFont="1" applyFill="1" applyBorder="1" applyAlignment="1">
      <alignment horizontal="center" vertical="center" wrapText="1"/>
    </xf>
    <xf numFmtId="4" fontId="10" fillId="9" borderId="50" xfId="0" applyNumberFormat="1" applyFont="1" applyFill="1" applyBorder="1" applyAlignment="1" applyProtection="1">
      <alignment horizontal="right" vertical="center" wrapText="1"/>
      <protection hidden="1"/>
    </xf>
    <xf numFmtId="0" fontId="9" fillId="12" borderId="50" xfId="0" applyFont="1" applyFill="1" applyBorder="1" applyAlignment="1" applyProtection="1">
      <alignment horizontal="center" vertical="center" wrapText="1"/>
      <protection hidden="1"/>
    </xf>
    <xf numFmtId="175" fontId="9" fillId="12" borderId="50" xfId="0" applyNumberFormat="1" applyFont="1" applyFill="1" applyBorder="1" applyAlignment="1" applyProtection="1">
      <alignment horizontal="center" vertical="center" wrapText="1"/>
      <protection hidden="1"/>
    </xf>
    <xf numFmtId="166" fontId="9" fillId="12" borderId="50" xfId="0" applyNumberFormat="1" applyFont="1" applyFill="1" applyBorder="1" applyAlignment="1" applyProtection="1">
      <alignment horizontal="center" vertical="center" wrapText="1"/>
      <protection hidden="1"/>
    </xf>
    <xf numFmtId="165" fontId="9" fillId="12" borderId="50" xfId="0" applyNumberFormat="1" applyFont="1" applyFill="1" applyBorder="1" applyAlignment="1" applyProtection="1">
      <alignment horizontal="center" vertical="center" wrapText="1"/>
      <protection hidden="1"/>
    </xf>
    <xf numFmtId="177" fontId="23" fillId="19" borderId="42" xfId="0" applyNumberFormat="1" applyFont="1" applyFill="1" applyBorder="1" applyAlignment="1" applyProtection="1">
      <alignment horizontal="center" vertical="center"/>
      <protection hidden="1"/>
    </xf>
    <xf numFmtId="4" fontId="23" fillId="19" borderId="42" xfId="0" applyNumberFormat="1" applyFont="1" applyFill="1" applyBorder="1" applyAlignment="1" applyProtection="1">
      <alignment horizontal="center" vertical="center"/>
      <protection hidden="1"/>
    </xf>
    <xf numFmtId="4" fontId="23" fillId="19" borderId="18" xfId="0" applyNumberFormat="1" applyFont="1" applyFill="1" applyBorder="1" applyAlignment="1" applyProtection="1">
      <alignment horizontal="center" vertical="center"/>
      <protection hidden="1"/>
    </xf>
    <xf numFmtId="165" fontId="23" fillId="19" borderId="18" xfId="0" applyNumberFormat="1" applyFont="1" applyFill="1" applyBorder="1" applyAlignment="1" applyProtection="1">
      <alignment horizontal="right" vertical="center"/>
      <protection hidden="1"/>
    </xf>
    <xf numFmtId="165" fontId="23" fillId="19" borderId="18" xfId="0" applyNumberFormat="1" applyFont="1" applyFill="1" applyBorder="1" applyAlignment="1" applyProtection="1">
      <alignment horizontal="center" vertical="center"/>
      <protection hidden="1"/>
    </xf>
    <xf numFmtId="164" fontId="3" fillId="4" borderId="0" xfId="0" applyNumberFormat="1" applyFont="1" applyFill="1" applyAlignment="1" applyProtection="1">
      <alignment horizontal="right" vertical="center"/>
      <protection hidden="1"/>
    </xf>
    <xf numFmtId="0" fontId="32" fillId="4" borderId="0" xfId="0" applyFont="1" applyFill="1" applyAlignment="1" applyProtection="1">
      <alignment vertical="center"/>
      <protection hidden="1"/>
    </xf>
    <xf numFmtId="0" fontId="33" fillId="0" borderId="0" xfId="0" applyFont="1" applyAlignment="1">
      <alignment horizontal="left" vertical="center" indent="1"/>
    </xf>
    <xf numFmtId="4" fontId="11" fillId="24" borderId="20" xfId="0" applyNumberFormat="1" applyFont="1" applyFill="1" applyBorder="1" applyAlignment="1">
      <alignment horizontal="center" vertical="center" wrapText="1"/>
    </xf>
    <xf numFmtId="4" fontId="10" fillId="24" borderId="31" xfId="0" applyNumberFormat="1" applyFont="1" applyFill="1" applyBorder="1" applyAlignment="1">
      <alignment horizontal="center" vertical="center" wrapText="1"/>
    </xf>
    <xf numFmtId="3" fontId="3" fillId="4" borderId="0" xfId="0" applyNumberFormat="1" applyFont="1" applyFill="1" applyAlignment="1" applyProtection="1">
      <alignment vertical="center" wrapText="1"/>
      <protection hidden="1"/>
    </xf>
    <xf numFmtId="0" fontId="10" fillId="22" borderId="26" xfId="0" applyFont="1" applyFill="1" applyBorder="1" applyAlignment="1">
      <alignment horizontal="right" vertical="center" wrapText="1"/>
    </xf>
    <xf numFmtId="173" fontId="18" fillId="24" borderId="27" xfId="0" applyNumberFormat="1" applyFont="1" applyFill="1" applyBorder="1" applyAlignment="1">
      <alignment horizontal="center" vertical="center" wrapText="1"/>
    </xf>
    <xf numFmtId="0" fontId="3" fillId="2" borderId="46" xfId="0" applyFont="1" applyFill="1" applyBorder="1" applyAlignment="1">
      <alignment vertical="center" wrapText="1"/>
    </xf>
    <xf numFmtId="0" fontId="3" fillId="19" borderId="35" xfId="0" applyFont="1" applyFill="1" applyBorder="1" applyAlignment="1">
      <alignment vertical="center" wrapText="1"/>
    </xf>
    <xf numFmtId="0" fontId="30" fillId="19" borderId="36" xfId="0" applyFont="1" applyFill="1" applyBorder="1" applyAlignment="1">
      <alignment vertical="center" wrapText="1"/>
    </xf>
    <xf numFmtId="166" fontId="3" fillId="24" borderId="27" xfId="0" applyNumberFormat="1" applyFont="1" applyFill="1" applyBorder="1" applyAlignment="1">
      <alignment horizontal="center" vertical="center" wrapText="1"/>
    </xf>
    <xf numFmtId="166" fontId="3" fillId="24" borderId="28" xfId="0" applyNumberFormat="1" applyFont="1" applyFill="1" applyBorder="1" applyAlignment="1">
      <alignment horizontal="center" vertical="center" wrapText="1"/>
    </xf>
    <xf numFmtId="4" fontId="23" fillId="19" borderId="15" xfId="0" applyNumberFormat="1" applyFont="1" applyFill="1" applyBorder="1" applyAlignment="1" applyProtection="1">
      <alignment horizontal="center" vertical="center"/>
      <protection hidden="1"/>
    </xf>
    <xf numFmtId="0" fontId="34" fillId="0" borderId="0" xfId="0" applyFont="1" applyAlignment="1">
      <alignment vertical="center"/>
    </xf>
    <xf numFmtId="0" fontId="9" fillId="2" borderId="0" xfId="0" applyFont="1" applyFill="1" applyAlignment="1">
      <alignment vertical="center" wrapText="1"/>
    </xf>
    <xf numFmtId="164" fontId="3" fillId="4" borderId="0" xfId="0" applyNumberFormat="1" applyFont="1" applyFill="1" applyAlignment="1" applyProtection="1">
      <alignment vertical="center" wrapText="1"/>
      <protection hidden="1"/>
    </xf>
    <xf numFmtId="0" fontId="6" fillId="25" borderId="3" xfId="0" applyFont="1" applyFill="1" applyBorder="1" applyAlignment="1">
      <alignment horizontal="right" vertical="center" wrapText="1"/>
    </xf>
    <xf numFmtId="0" fontId="6" fillId="25" borderId="2" xfId="0" applyFont="1" applyFill="1" applyBorder="1" applyAlignment="1">
      <alignment horizontal="right" vertical="center" wrapText="1"/>
    </xf>
    <xf numFmtId="0" fontId="22" fillId="19" borderId="51" xfId="0" applyFont="1" applyFill="1" applyBorder="1" applyAlignment="1" applyProtection="1">
      <alignment horizontal="right" vertical="center"/>
      <protection hidden="1"/>
    </xf>
    <xf numFmtId="177" fontId="23" fillId="19" borderId="52" xfId="0" applyNumberFormat="1" applyFont="1" applyFill="1" applyBorder="1" applyAlignment="1" applyProtection="1">
      <alignment horizontal="center" vertical="center"/>
      <protection hidden="1"/>
    </xf>
    <xf numFmtId="4" fontId="23" fillId="19" borderId="52" xfId="0" applyNumberFormat="1" applyFont="1" applyFill="1" applyBorder="1" applyAlignment="1" applyProtection="1">
      <alignment horizontal="center" vertical="center"/>
      <protection hidden="1"/>
    </xf>
    <xf numFmtId="4" fontId="23" fillId="19" borderId="51" xfId="0" applyNumberFormat="1" applyFont="1" applyFill="1" applyBorder="1" applyAlignment="1" applyProtection="1">
      <alignment horizontal="center" vertical="center"/>
      <protection hidden="1"/>
    </xf>
    <xf numFmtId="165" fontId="23" fillId="19" borderId="51" xfId="0" applyNumberFormat="1" applyFont="1" applyFill="1" applyBorder="1" applyAlignment="1" applyProtection="1">
      <alignment horizontal="right" vertical="center"/>
      <protection hidden="1"/>
    </xf>
    <xf numFmtId="165" fontId="23" fillId="19" borderId="51" xfId="0" applyNumberFormat="1" applyFont="1" applyFill="1" applyBorder="1" applyAlignment="1" applyProtection="1">
      <alignment horizontal="center" vertical="center"/>
      <protection hidden="1"/>
    </xf>
    <xf numFmtId="0" fontId="37" fillId="26" borderId="22" xfId="3" applyFont="1" applyFill="1" applyBorder="1" applyAlignment="1">
      <alignment horizontal="center" vertical="center" wrapText="1"/>
    </xf>
    <xf numFmtId="0" fontId="37" fillId="26" borderId="0" xfId="3" applyFont="1" applyFill="1" applyAlignment="1">
      <alignment horizontal="center" vertical="center" wrapText="1"/>
    </xf>
    <xf numFmtId="0" fontId="37" fillId="26" borderId="0" xfId="0" applyFont="1" applyFill="1" applyAlignment="1">
      <alignment horizontal="center" vertical="center" wrapText="1"/>
    </xf>
    <xf numFmtId="0" fontId="37" fillId="26" borderId="23" xfId="0" applyFont="1" applyFill="1" applyBorder="1" applyAlignment="1">
      <alignment horizontal="center" vertical="center" wrapText="1"/>
    </xf>
    <xf numFmtId="0" fontId="38" fillId="2" borderId="0" xfId="0" applyFont="1" applyFill="1" applyAlignment="1">
      <alignment vertical="center" wrapText="1"/>
    </xf>
    <xf numFmtId="177" fontId="23" fillId="19" borderId="7" xfId="0" applyNumberFormat="1" applyFont="1" applyFill="1" applyBorder="1" applyAlignment="1" applyProtection="1">
      <alignment horizontal="center" vertical="center"/>
      <protection hidden="1"/>
    </xf>
    <xf numFmtId="4" fontId="23" fillId="19" borderId="7" xfId="0" applyNumberFormat="1" applyFont="1" applyFill="1" applyBorder="1" applyAlignment="1" applyProtection="1">
      <alignment horizontal="center" vertical="center"/>
      <protection hidden="1"/>
    </xf>
    <xf numFmtId="4" fontId="23" fillId="19" borderId="8" xfId="0" applyNumberFormat="1" applyFont="1" applyFill="1" applyBorder="1" applyAlignment="1" applyProtection="1">
      <alignment horizontal="center" vertical="center"/>
      <protection hidden="1"/>
    </xf>
    <xf numFmtId="165" fontId="23" fillId="19" borderId="8" xfId="0" applyNumberFormat="1" applyFont="1" applyFill="1" applyBorder="1" applyAlignment="1" applyProtection="1">
      <alignment horizontal="right" vertical="center"/>
      <protection hidden="1"/>
    </xf>
    <xf numFmtId="165" fontId="23" fillId="19" borderId="8" xfId="0" applyNumberFormat="1" applyFont="1" applyFill="1" applyBorder="1" applyAlignment="1" applyProtection="1">
      <alignment horizontal="center" vertical="center"/>
      <protection hidden="1"/>
    </xf>
    <xf numFmtId="3" fontId="32" fillId="14" borderId="42" xfId="0" applyNumberFormat="1" applyFont="1" applyFill="1" applyBorder="1" applyAlignment="1" applyProtection="1">
      <alignment horizontal="center" vertical="center"/>
      <protection locked="0"/>
    </xf>
    <xf numFmtId="3" fontId="32" fillId="14" borderId="18" xfId="0" applyNumberFormat="1" applyFont="1" applyFill="1" applyBorder="1" applyAlignment="1" applyProtection="1">
      <alignment horizontal="center" vertical="center" wrapText="1"/>
      <protection locked="0"/>
    </xf>
    <xf numFmtId="3" fontId="8" fillId="14" borderId="18" xfId="0" applyNumberFormat="1" applyFont="1" applyFill="1" applyBorder="1" applyAlignment="1" applyProtection="1">
      <alignment horizontal="center" vertical="center" wrapText="1"/>
      <protection locked="0"/>
    </xf>
    <xf numFmtId="177" fontId="32" fillId="14" borderId="18" xfId="0" applyNumberFormat="1" applyFont="1" applyFill="1" applyBorder="1" applyAlignment="1" applyProtection="1">
      <alignment horizontal="center" vertical="center" wrapText="1"/>
      <protection locked="0"/>
    </xf>
    <xf numFmtId="0" fontId="32" fillId="2" borderId="0" xfId="0" applyFont="1" applyFill="1" applyAlignment="1">
      <alignment vertical="center" wrapText="1"/>
    </xf>
    <xf numFmtId="4" fontId="32" fillId="19" borderId="55" xfId="0" applyNumberFormat="1" applyFont="1" applyFill="1" applyBorder="1" applyAlignment="1">
      <alignment horizontal="center" vertical="center" wrapText="1"/>
    </xf>
    <xf numFmtId="166" fontId="32" fillId="19" borderId="55" xfId="0" applyNumberFormat="1" applyFont="1" applyFill="1" applyBorder="1" applyAlignment="1">
      <alignment horizontal="center" vertical="center" wrapText="1"/>
    </xf>
    <xf numFmtId="0" fontId="22" fillId="19" borderId="15" xfId="0" applyFont="1" applyFill="1" applyBorder="1" applyAlignment="1" applyProtection="1">
      <alignment horizontal="right" vertical="center"/>
      <protection hidden="1"/>
    </xf>
    <xf numFmtId="177" fontId="23" fillId="19" borderId="22" xfId="0" applyNumberFormat="1" applyFont="1" applyFill="1" applyBorder="1" applyAlignment="1" applyProtection="1">
      <alignment horizontal="center" vertical="center"/>
      <protection hidden="1"/>
    </xf>
    <xf numFmtId="4" fontId="23" fillId="19" borderId="14" xfId="0" applyNumberFormat="1" applyFont="1" applyFill="1" applyBorder="1" applyAlignment="1" applyProtection="1">
      <alignment horizontal="center" vertical="center"/>
      <protection hidden="1"/>
    </xf>
    <xf numFmtId="165" fontId="23" fillId="19" borderId="15" xfId="0" applyNumberFormat="1" applyFont="1" applyFill="1" applyBorder="1" applyAlignment="1" applyProtection="1">
      <alignment horizontal="right" vertical="center"/>
      <protection hidden="1"/>
    </xf>
    <xf numFmtId="165" fontId="23" fillId="19" borderId="15" xfId="0" applyNumberFormat="1" applyFont="1" applyFill="1" applyBorder="1" applyAlignment="1" applyProtection="1">
      <alignment horizontal="center" vertical="center"/>
      <protection hidden="1"/>
    </xf>
    <xf numFmtId="0" fontId="22" fillId="19" borderId="17" xfId="0" applyFont="1" applyFill="1" applyBorder="1" applyAlignment="1" applyProtection="1">
      <alignment horizontal="right" vertical="center"/>
      <protection hidden="1"/>
    </xf>
    <xf numFmtId="177" fontId="23" fillId="19" borderId="56" xfId="0" applyNumberFormat="1" applyFont="1" applyFill="1" applyBorder="1" applyAlignment="1" applyProtection="1">
      <alignment horizontal="center" vertical="center"/>
      <protection hidden="1"/>
    </xf>
    <xf numFmtId="4" fontId="23" fillId="19" borderId="56" xfId="0" applyNumberFormat="1" applyFont="1" applyFill="1" applyBorder="1" applyAlignment="1" applyProtection="1">
      <alignment horizontal="center" vertical="center"/>
      <protection hidden="1"/>
    </xf>
    <xf numFmtId="4" fontId="23" fillId="19" borderId="17" xfId="0" applyNumberFormat="1" applyFont="1" applyFill="1" applyBorder="1" applyAlignment="1" applyProtection="1">
      <alignment horizontal="center" vertical="center"/>
      <protection hidden="1"/>
    </xf>
    <xf numFmtId="165" fontId="23" fillId="19" borderId="17" xfId="0" applyNumberFormat="1" applyFont="1" applyFill="1" applyBorder="1" applyAlignment="1" applyProtection="1">
      <alignment horizontal="right" vertical="center"/>
      <protection hidden="1"/>
    </xf>
    <xf numFmtId="165" fontId="23" fillId="19" borderId="17" xfId="0" applyNumberFormat="1" applyFont="1" applyFill="1" applyBorder="1" applyAlignment="1" applyProtection="1">
      <alignment horizontal="center" vertical="center"/>
      <protection hidden="1"/>
    </xf>
    <xf numFmtId="4" fontId="10" fillId="9" borderId="57" xfId="0" applyNumberFormat="1" applyFont="1" applyFill="1" applyBorder="1" applyAlignment="1" applyProtection="1">
      <alignment horizontal="right" vertical="center" wrapText="1"/>
      <protection hidden="1"/>
    </xf>
    <xf numFmtId="0" fontId="3" fillId="12" borderId="57" xfId="0" applyFont="1" applyFill="1" applyBorder="1" applyAlignment="1" applyProtection="1">
      <alignment horizontal="center" vertical="center" wrapText="1"/>
      <protection hidden="1"/>
    </xf>
    <xf numFmtId="0" fontId="3" fillId="10" borderId="57" xfId="0" applyFont="1" applyFill="1" applyBorder="1" applyAlignment="1" applyProtection="1">
      <alignment horizontal="center" vertical="center" wrapText="1"/>
      <protection hidden="1"/>
    </xf>
    <xf numFmtId="177" fontId="23" fillId="19" borderId="29" xfId="0" applyNumberFormat="1" applyFont="1" applyFill="1" applyBorder="1" applyAlignment="1" applyProtection="1">
      <alignment horizontal="center" vertical="center"/>
      <protection hidden="1"/>
    </xf>
    <xf numFmtId="0" fontId="22" fillId="19" borderId="20" xfId="0" applyFont="1" applyFill="1" applyBorder="1" applyAlignment="1" applyProtection="1">
      <alignment horizontal="right" vertical="center"/>
      <protection hidden="1"/>
    </xf>
    <xf numFmtId="177" fontId="23" fillId="19" borderId="19" xfId="0" applyNumberFormat="1" applyFont="1" applyFill="1" applyBorder="1" applyAlignment="1" applyProtection="1">
      <alignment horizontal="center" vertical="center"/>
      <protection hidden="1"/>
    </xf>
    <xf numFmtId="4" fontId="23" fillId="19" borderId="19" xfId="0" applyNumberFormat="1" applyFont="1" applyFill="1" applyBorder="1" applyAlignment="1" applyProtection="1">
      <alignment horizontal="center" vertical="center"/>
      <protection hidden="1"/>
    </xf>
    <xf numFmtId="4" fontId="23" fillId="19" borderId="20" xfId="0" applyNumberFormat="1" applyFont="1" applyFill="1" applyBorder="1" applyAlignment="1" applyProtection="1">
      <alignment horizontal="center" vertical="center"/>
      <protection hidden="1"/>
    </xf>
    <xf numFmtId="165" fontId="23" fillId="19" borderId="20" xfId="0" applyNumberFormat="1" applyFont="1" applyFill="1" applyBorder="1" applyAlignment="1" applyProtection="1">
      <alignment horizontal="right" vertical="center"/>
      <protection hidden="1"/>
    </xf>
    <xf numFmtId="165" fontId="23" fillId="19" borderId="20" xfId="0" applyNumberFormat="1" applyFont="1" applyFill="1" applyBorder="1" applyAlignment="1" applyProtection="1">
      <alignment horizontal="center" vertical="center"/>
      <protection hidden="1"/>
    </xf>
    <xf numFmtId="173" fontId="9" fillId="4" borderId="0" xfId="0" applyNumberFormat="1" applyFont="1" applyFill="1" applyAlignment="1" applyProtection="1">
      <alignment wrapText="1"/>
      <protection hidden="1"/>
    </xf>
    <xf numFmtId="4" fontId="8" fillId="19" borderId="55" xfId="0" applyNumberFormat="1" applyFont="1" applyFill="1" applyBorder="1" applyAlignment="1">
      <alignment horizontal="center" vertical="center" wrapText="1"/>
    </xf>
    <xf numFmtId="166" fontId="8" fillId="19" borderId="55" xfId="0" applyNumberFormat="1" applyFont="1" applyFill="1" applyBorder="1" applyAlignment="1">
      <alignment horizontal="center" vertical="center" wrapText="1"/>
    </xf>
    <xf numFmtId="177" fontId="23" fillId="19" borderId="45" xfId="0" applyNumberFormat="1" applyFont="1" applyFill="1" applyBorder="1" applyAlignment="1" applyProtection="1">
      <alignment horizontal="center" vertical="center"/>
      <protection hidden="1"/>
    </xf>
    <xf numFmtId="4" fontId="23" fillId="19" borderId="45" xfId="0" applyNumberFormat="1" applyFont="1" applyFill="1" applyBorder="1" applyAlignment="1" applyProtection="1">
      <alignment horizontal="center" vertical="center"/>
      <protection hidden="1"/>
    </xf>
    <xf numFmtId="0" fontId="3" fillId="4" borderId="58" xfId="0" applyFont="1" applyFill="1" applyBorder="1" applyAlignment="1" applyProtection="1">
      <alignment vertical="center" wrapText="1"/>
      <protection hidden="1"/>
    </xf>
    <xf numFmtId="173" fontId="23" fillId="19" borderId="44" xfId="0" applyNumberFormat="1" applyFont="1" applyFill="1" applyBorder="1" applyAlignment="1" applyProtection="1">
      <alignment horizontal="center" vertical="center"/>
      <protection hidden="1"/>
    </xf>
    <xf numFmtId="173" fontId="3" fillId="4" borderId="0" xfId="0" applyNumberFormat="1" applyFont="1" applyFill="1" applyAlignment="1" applyProtection="1">
      <alignment vertical="center" wrapText="1"/>
      <protection hidden="1"/>
    </xf>
    <xf numFmtId="0" fontId="3" fillId="4" borderId="60" xfId="0" applyFont="1" applyFill="1" applyBorder="1" applyAlignment="1" applyProtection="1">
      <alignment vertical="center" wrapText="1"/>
      <protection hidden="1"/>
    </xf>
    <xf numFmtId="173" fontId="23" fillId="19" borderId="48" xfId="0" applyNumberFormat="1" applyFont="1" applyFill="1" applyBorder="1" applyAlignment="1" applyProtection="1">
      <alignment horizontal="center" vertical="center"/>
      <protection hidden="1"/>
    </xf>
    <xf numFmtId="168" fontId="23" fillId="19" borderId="48" xfId="0" applyNumberFormat="1" applyFont="1" applyFill="1" applyBorder="1" applyAlignment="1" applyProtection="1">
      <alignment horizontal="center" vertical="center"/>
      <protection hidden="1"/>
    </xf>
    <xf numFmtId="166" fontId="9" fillId="4" borderId="0" xfId="0" applyNumberFormat="1" applyFont="1" applyFill="1" applyAlignment="1" applyProtection="1">
      <alignment horizontal="center" vertical="center" wrapText="1"/>
      <protection hidden="1"/>
    </xf>
    <xf numFmtId="168" fontId="9" fillId="4" borderId="0" xfId="0" applyNumberFormat="1" applyFont="1" applyFill="1" applyAlignment="1" applyProtection="1">
      <alignment horizontal="center" vertical="center" wrapText="1"/>
      <protection hidden="1"/>
    </xf>
    <xf numFmtId="169" fontId="9" fillId="4" borderId="0" xfId="0" applyNumberFormat="1" applyFont="1" applyFill="1" applyAlignment="1" applyProtection="1">
      <alignment horizontal="center" vertical="center" wrapText="1"/>
      <protection hidden="1"/>
    </xf>
    <xf numFmtId="173" fontId="23" fillId="19" borderId="18" xfId="0" applyNumberFormat="1" applyFont="1" applyFill="1" applyBorder="1" applyAlignment="1" applyProtection="1">
      <alignment horizontal="center" vertical="center"/>
      <protection hidden="1"/>
    </xf>
    <xf numFmtId="168" fontId="23" fillId="19" borderId="18" xfId="0" applyNumberFormat="1" applyFont="1" applyFill="1" applyBorder="1" applyAlignment="1" applyProtection="1">
      <alignment horizontal="center" vertical="center"/>
      <protection hidden="1"/>
    </xf>
    <xf numFmtId="0" fontId="9" fillId="4" borderId="0" xfId="0" applyFont="1" applyFill="1" applyAlignment="1" applyProtection="1">
      <alignment horizontal="center" vertical="center"/>
      <protection hidden="1"/>
    </xf>
    <xf numFmtId="168" fontId="23" fillId="19" borderId="44" xfId="0" applyNumberFormat="1" applyFont="1" applyFill="1" applyBorder="1" applyAlignment="1" applyProtection="1">
      <alignment horizontal="center" vertical="center"/>
      <protection hidden="1"/>
    </xf>
    <xf numFmtId="0" fontId="40" fillId="2" borderId="0" xfId="0" applyFont="1" applyFill="1" applyAlignment="1">
      <alignment vertical="center"/>
    </xf>
    <xf numFmtId="0" fontId="3" fillId="4" borderId="0" xfId="0" applyFont="1" applyFill="1" applyAlignment="1">
      <alignment vertical="center" wrapText="1"/>
    </xf>
    <xf numFmtId="0" fontId="10" fillId="4" borderId="0" xfId="0" applyFont="1" applyFill="1" applyAlignment="1" applyProtection="1">
      <alignment horizontal="center" vertical="center" wrapText="1"/>
      <protection hidden="1"/>
    </xf>
    <xf numFmtId="1" fontId="10" fillId="4" borderId="0" xfId="0" applyNumberFormat="1" applyFont="1" applyFill="1" applyAlignment="1" applyProtection="1">
      <alignment horizontal="center" vertical="center" wrapText="1"/>
      <protection hidden="1"/>
    </xf>
    <xf numFmtId="0" fontId="44" fillId="2" borderId="0" xfId="0" applyFont="1" applyFill="1" applyAlignment="1" applyProtection="1">
      <alignment vertical="center"/>
      <protection locked="0"/>
    </xf>
    <xf numFmtId="0" fontId="44" fillId="2" borderId="0" xfId="0" applyFont="1" applyFill="1" applyAlignment="1" applyProtection="1">
      <alignment vertical="center"/>
      <protection hidden="1"/>
    </xf>
    <xf numFmtId="0" fontId="45" fillId="2" borderId="0" xfId="0" applyFont="1" applyFill="1" applyAlignment="1" applyProtection="1">
      <alignment vertical="center"/>
      <protection hidden="1"/>
    </xf>
    <xf numFmtId="0" fontId="46" fillId="2" borderId="0" xfId="0" applyFont="1" applyFill="1" applyAlignment="1" applyProtection="1">
      <alignment vertical="center"/>
      <protection hidden="1"/>
    </xf>
    <xf numFmtId="0" fontId="55" fillId="2" borderId="62" xfId="0" applyFont="1" applyFill="1" applyBorder="1" applyAlignment="1" applyProtection="1">
      <alignment horizontal="right" vertical="center"/>
      <protection hidden="1"/>
    </xf>
    <xf numFmtId="4" fontId="45" fillId="2" borderId="62" xfId="0" applyNumberFormat="1" applyFont="1" applyFill="1" applyBorder="1" applyAlignment="1" applyProtection="1">
      <alignment horizontal="center" vertical="center"/>
      <protection hidden="1"/>
    </xf>
    <xf numFmtId="0" fontId="58" fillId="2" borderId="0" xfId="0" applyFont="1" applyFill="1" applyAlignment="1" applyProtection="1">
      <alignment vertical="center"/>
      <protection hidden="1"/>
    </xf>
    <xf numFmtId="0" fontId="46" fillId="2" borderId="0" xfId="0" applyFont="1" applyFill="1" applyAlignment="1" applyProtection="1">
      <alignment vertical="center"/>
      <protection locked="0"/>
    </xf>
    <xf numFmtId="0" fontId="7" fillId="6" borderId="8" xfId="0" applyFont="1" applyFill="1" applyBorder="1" applyAlignment="1" applyProtection="1">
      <alignment horizontal="center" vertical="center" wrapText="1"/>
      <protection hidden="1"/>
    </xf>
    <xf numFmtId="0" fontId="5" fillId="3"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7" fillId="6" borderId="10" xfId="0" applyFont="1" applyFill="1" applyBorder="1" applyAlignment="1" applyProtection="1">
      <alignment horizontal="center" vertical="center" wrapText="1"/>
      <protection hidden="1"/>
    </xf>
    <xf numFmtId="0" fontId="7" fillId="5"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3" fillId="4" borderId="12" xfId="0" applyFont="1" applyFill="1" applyBorder="1" applyAlignment="1" applyProtection="1">
      <alignment horizontal="left" vertical="center" wrapText="1"/>
      <protection locked="0"/>
    </xf>
    <xf numFmtId="0" fontId="3" fillId="4" borderId="12"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4" borderId="20" xfId="0" applyFont="1" applyFill="1" applyBorder="1" applyAlignment="1" applyProtection="1">
      <alignment horizontal="left" vertical="center" wrapText="1"/>
      <protection locked="0"/>
    </xf>
    <xf numFmtId="0" fontId="3" fillId="4" borderId="21" xfId="0" applyFont="1" applyFill="1" applyBorder="1" applyAlignment="1" applyProtection="1">
      <alignment horizontal="left" vertical="center" wrapText="1"/>
      <protection locked="0"/>
    </xf>
    <xf numFmtId="0" fontId="13" fillId="4" borderId="20" xfId="0" applyFont="1" applyFill="1" applyBorder="1" applyAlignment="1" applyProtection="1">
      <alignment horizontal="left" vertical="center" wrapText="1"/>
      <protection locked="0"/>
    </xf>
    <xf numFmtId="0" fontId="2" fillId="4" borderId="20" xfId="2" applyFill="1" applyBorder="1" applyAlignment="1" applyProtection="1">
      <alignment horizontal="left" vertical="center" wrapText="1"/>
      <protection locked="0"/>
    </xf>
    <xf numFmtId="49" fontId="3" fillId="4" borderId="20" xfId="0" applyNumberFormat="1" applyFont="1" applyFill="1" applyBorder="1" applyAlignment="1" applyProtection="1">
      <alignment horizontal="left" vertical="center" wrapText="1"/>
      <protection locked="0"/>
    </xf>
    <xf numFmtId="49" fontId="3" fillId="4" borderId="21" xfId="0" applyNumberFormat="1" applyFont="1" applyFill="1" applyBorder="1" applyAlignment="1" applyProtection="1">
      <alignment horizontal="left" vertical="center" wrapText="1"/>
      <protection locked="0"/>
    </xf>
    <xf numFmtId="0" fontId="15" fillId="16" borderId="30" xfId="0" applyFont="1" applyFill="1" applyBorder="1" applyAlignment="1" applyProtection="1">
      <alignment horizontal="left" wrapText="1"/>
      <protection hidden="1"/>
    </xf>
    <xf numFmtId="0" fontId="15" fillId="16" borderId="31" xfId="0" applyFont="1" applyFill="1" applyBorder="1" applyAlignment="1" applyProtection="1">
      <alignment horizontal="left" wrapText="1"/>
      <protection hidden="1"/>
    </xf>
    <xf numFmtId="0" fontId="15" fillId="16" borderId="32" xfId="0" applyFont="1" applyFill="1" applyBorder="1" applyAlignment="1" applyProtection="1">
      <alignment horizontal="left" wrapText="1"/>
      <protection hidden="1"/>
    </xf>
    <xf numFmtId="0" fontId="15" fillId="16" borderId="29" xfId="0" applyFont="1" applyFill="1" applyBorder="1" applyAlignment="1" applyProtection="1">
      <alignment horizontal="left" wrapText="1"/>
      <protection hidden="1"/>
    </xf>
    <xf numFmtId="0" fontId="15" fillId="16" borderId="10" xfId="0" applyFont="1" applyFill="1" applyBorder="1" applyAlignment="1" applyProtection="1">
      <alignment horizontal="left" wrapText="1"/>
      <protection hidden="1"/>
    </xf>
    <xf numFmtId="0" fontId="15" fillId="16" borderId="33" xfId="0" applyFont="1" applyFill="1" applyBorder="1" applyAlignment="1" applyProtection="1">
      <alignment horizontal="left" wrapText="1"/>
      <protection hidden="1"/>
    </xf>
    <xf numFmtId="0" fontId="10" fillId="7" borderId="30" xfId="0" applyFont="1" applyFill="1" applyBorder="1" applyAlignment="1">
      <alignment horizontal="right" vertical="center" wrapText="1"/>
    </xf>
    <xf numFmtId="0" fontId="10" fillId="7" borderId="34" xfId="0" applyFont="1" applyFill="1" applyBorder="1" applyAlignment="1">
      <alignment horizontal="right" vertical="center" wrapText="1"/>
    </xf>
    <xf numFmtId="0" fontId="16" fillId="4" borderId="31" xfId="0" applyFont="1" applyFill="1" applyBorder="1" applyAlignment="1" applyProtection="1">
      <alignment horizontal="center" vertical="center" wrapText="1"/>
      <protection locked="0"/>
    </xf>
    <xf numFmtId="0" fontId="16" fillId="4" borderId="35" xfId="0" applyFont="1" applyFill="1" applyBorder="1" applyAlignment="1" applyProtection="1">
      <alignment horizontal="center" vertical="center" wrapText="1"/>
      <protection locked="0"/>
    </xf>
    <xf numFmtId="171" fontId="13" fillId="4" borderId="31" xfId="0" applyNumberFormat="1" applyFont="1" applyFill="1" applyBorder="1" applyAlignment="1" applyProtection="1">
      <alignment horizontal="center" vertical="center" wrapText="1"/>
      <protection locked="0"/>
    </xf>
    <xf numFmtId="171" fontId="13" fillId="4" borderId="32" xfId="0" applyNumberFormat="1" applyFont="1" applyFill="1" applyBorder="1" applyAlignment="1" applyProtection="1">
      <alignment horizontal="center" vertical="center" wrapText="1"/>
      <protection locked="0"/>
    </xf>
    <xf numFmtId="171" fontId="13" fillId="4" borderId="35" xfId="0" applyNumberFormat="1" applyFont="1" applyFill="1" applyBorder="1" applyAlignment="1" applyProtection="1">
      <alignment horizontal="center" vertical="center" wrapText="1"/>
      <protection locked="0"/>
    </xf>
    <xf numFmtId="171" fontId="13" fillId="4" borderId="36" xfId="0" applyNumberFormat="1" applyFont="1" applyFill="1" applyBorder="1" applyAlignment="1" applyProtection="1">
      <alignment horizontal="center" vertical="center" wrapText="1"/>
      <protection locked="0"/>
    </xf>
    <xf numFmtId="0" fontId="10" fillId="7" borderId="22"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17" borderId="0" xfId="0" applyFont="1" applyFill="1" applyAlignment="1" applyProtection="1">
      <alignment horizontal="center" vertical="center" wrapText="1"/>
      <protection hidden="1"/>
    </xf>
    <xf numFmtId="0" fontId="10" fillId="7" borderId="19" xfId="0" applyFont="1" applyFill="1" applyBorder="1" applyAlignment="1">
      <alignment horizontal="right" vertical="center" wrapText="1"/>
    </xf>
    <xf numFmtId="0" fontId="10" fillId="7" borderId="20" xfId="0" applyFont="1" applyFill="1" applyBorder="1" applyAlignment="1">
      <alignment horizontal="right" vertical="center" wrapText="1"/>
    </xf>
    <xf numFmtId="4" fontId="3" fillId="4" borderId="20" xfId="0" applyNumberFormat="1" applyFont="1" applyFill="1" applyBorder="1" applyAlignment="1" applyProtection="1">
      <alignment horizontal="center" vertical="center" wrapText="1"/>
      <protection locked="0"/>
    </xf>
    <xf numFmtId="0" fontId="5" fillId="5" borderId="3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7" fillId="6" borderId="41" xfId="0" applyFont="1" applyFill="1" applyBorder="1" applyAlignment="1" applyProtection="1">
      <alignment horizontal="center" vertical="center" wrapText="1"/>
      <protection hidden="1"/>
    </xf>
    <xf numFmtId="0" fontId="10" fillId="7" borderId="29"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20" fillId="18" borderId="18" xfId="0" applyFont="1" applyFill="1" applyBorder="1" applyAlignment="1" applyProtection="1">
      <alignment horizontal="center" vertical="center" wrapText="1"/>
      <protection hidden="1"/>
    </xf>
    <xf numFmtId="0" fontId="20" fillId="18" borderId="15" xfId="0" applyFont="1" applyFill="1" applyBorder="1" applyAlignment="1" applyProtection="1">
      <alignment horizontal="right" vertical="center" wrapText="1"/>
      <protection hidden="1"/>
    </xf>
    <xf numFmtId="0" fontId="20" fillId="18" borderId="16" xfId="0" applyFont="1" applyFill="1" applyBorder="1" applyAlignment="1" applyProtection="1">
      <alignment horizontal="right" vertical="center" wrapText="1"/>
      <protection hidden="1"/>
    </xf>
    <xf numFmtId="0" fontId="7" fillId="5" borderId="22"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23" xfId="0" applyFont="1" applyFill="1" applyBorder="1" applyAlignment="1">
      <alignment horizontal="center" vertical="center" wrapText="1"/>
    </xf>
    <xf numFmtId="4" fontId="23" fillId="19" borderId="15" xfId="0" applyNumberFormat="1" applyFont="1" applyFill="1" applyBorder="1" applyAlignment="1" applyProtection="1">
      <alignment horizontal="center" vertical="center"/>
      <protection hidden="1"/>
    </xf>
    <xf numFmtId="4" fontId="23" fillId="19" borderId="0" xfId="0" applyNumberFormat="1" applyFont="1" applyFill="1" applyAlignment="1" applyProtection="1">
      <alignment horizontal="center" vertical="center"/>
      <protection hidden="1"/>
    </xf>
    <xf numFmtId="4" fontId="23" fillId="19" borderId="10" xfId="0" applyNumberFormat="1" applyFont="1" applyFill="1" applyBorder="1" applyAlignment="1" applyProtection="1">
      <alignment horizontal="center" vertical="center"/>
      <protection hidden="1"/>
    </xf>
    <xf numFmtId="0" fontId="35" fillId="25" borderId="1" xfId="0" applyFont="1" applyFill="1" applyBorder="1" applyAlignment="1">
      <alignment horizontal="center" vertical="center" wrapText="1"/>
    </xf>
    <xf numFmtId="0" fontId="35" fillId="25" borderId="2" xfId="0" applyFont="1" applyFill="1" applyBorder="1" applyAlignment="1">
      <alignment horizontal="center" vertical="center" wrapText="1"/>
    </xf>
    <xf numFmtId="0" fontId="10" fillId="7" borderId="26" xfId="0" applyFont="1" applyFill="1" applyBorder="1" applyAlignment="1">
      <alignment horizontal="right" vertical="center" wrapText="1"/>
    </xf>
    <xf numFmtId="0" fontId="10" fillId="7" borderId="27" xfId="0" applyFont="1" applyFill="1" applyBorder="1" applyAlignment="1">
      <alignment horizontal="right" vertical="center" wrapText="1"/>
    </xf>
    <xf numFmtId="3" fontId="3" fillId="4" borderId="19" xfId="0" applyNumberFormat="1" applyFont="1" applyFill="1" applyBorder="1" applyAlignment="1" applyProtection="1">
      <alignment horizontal="center" vertical="center" wrapText="1"/>
      <protection locked="0"/>
    </xf>
    <xf numFmtId="3" fontId="3" fillId="4" borderId="20" xfId="0" applyNumberFormat="1" applyFont="1" applyFill="1" applyBorder="1" applyAlignment="1" applyProtection="1">
      <alignment horizontal="center" vertical="center" wrapText="1"/>
      <protection locked="0"/>
    </xf>
    <xf numFmtId="0" fontId="26" fillId="20" borderId="1" xfId="0" applyFont="1" applyFill="1" applyBorder="1" applyAlignment="1">
      <alignment horizontal="center" vertical="center" wrapText="1"/>
    </xf>
    <xf numFmtId="0" fontId="26" fillId="20" borderId="2" xfId="0" applyFont="1" applyFill="1" applyBorder="1" applyAlignment="1">
      <alignment horizontal="center" vertical="center" wrapText="1"/>
    </xf>
    <xf numFmtId="0" fontId="26" fillId="20" borderId="43" xfId="0" applyFont="1" applyFill="1" applyBorder="1" applyAlignment="1">
      <alignment horizontal="center" vertical="center" wrapText="1"/>
    </xf>
    <xf numFmtId="0" fontId="11" fillId="21" borderId="37" xfId="0" applyFont="1" applyFill="1" applyBorder="1" applyAlignment="1">
      <alignment horizontal="center" vertical="center" wrapText="1"/>
    </xf>
    <xf numFmtId="0" fontId="11" fillId="21" borderId="38" xfId="0" applyFont="1" applyFill="1" applyBorder="1" applyAlignment="1">
      <alignment horizontal="center" vertical="center" wrapText="1"/>
    </xf>
    <xf numFmtId="0" fontId="11" fillId="21" borderId="39" xfId="0" applyFont="1" applyFill="1" applyBorder="1" applyAlignment="1">
      <alignment horizontal="center" vertical="center" wrapText="1"/>
    </xf>
    <xf numFmtId="0" fontId="10" fillId="22" borderId="19" xfId="0" applyFont="1" applyFill="1" applyBorder="1" applyAlignment="1">
      <alignment horizontal="right" vertical="center" wrapText="1"/>
    </xf>
    <xf numFmtId="0" fontId="10" fillId="22" borderId="20" xfId="0" applyFont="1" applyFill="1" applyBorder="1" applyAlignment="1">
      <alignment horizontal="right" vertical="center" wrapText="1"/>
    </xf>
    <xf numFmtId="0" fontId="10" fillId="22" borderId="26" xfId="0" applyFont="1" applyFill="1" applyBorder="1" applyAlignment="1">
      <alignment horizontal="right" vertical="center" wrapText="1"/>
    </xf>
    <xf numFmtId="0" fontId="10" fillId="22" borderId="27" xfId="0" applyFont="1" applyFill="1" applyBorder="1" applyAlignment="1">
      <alignment horizontal="right" vertical="center" wrapText="1"/>
    </xf>
    <xf numFmtId="3" fontId="32" fillId="14" borderId="18" xfId="0" applyNumberFormat="1" applyFont="1" applyFill="1" applyBorder="1" applyAlignment="1" applyProtection="1">
      <alignment horizontal="center" vertical="center" wrapText="1"/>
      <protection locked="0"/>
    </xf>
    <xf numFmtId="0" fontId="37" fillId="26" borderId="53" xfId="0" applyFont="1" applyFill="1" applyBorder="1" applyAlignment="1">
      <alignment horizontal="center" vertical="center" wrapText="1"/>
    </xf>
    <xf numFmtId="4" fontId="23" fillId="19" borderId="31" xfId="0" applyNumberFormat="1" applyFont="1" applyFill="1" applyBorder="1" applyAlignment="1" applyProtection="1">
      <alignment horizontal="center" vertical="center"/>
      <protection hidden="1"/>
    </xf>
    <xf numFmtId="4" fontId="23" fillId="19" borderId="58" xfId="0" applyNumberFormat="1" applyFont="1" applyFill="1" applyBorder="1" applyAlignment="1" applyProtection="1">
      <alignment horizontal="center" vertical="center"/>
      <protection hidden="1"/>
    </xf>
    <xf numFmtId="0" fontId="39" fillId="4" borderId="59" xfId="0" applyFont="1" applyFill="1" applyBorder="1" applyAlignment="1" applyProtection="1">
      <alignment horizontal="center" vertical="center" wrapText="1"/>
      <protection hidden="1"/>
    </xf>
    <xf numFmtId="0" fontId="54" fillId="7" borderId="31" xfId="0" applyFont="1" applyFill="1" applyBorder="1" applyAlignment="1" applyProtection="1">
      <alignment horizontal="center" vertical="center"/>
      <protection locked="0"/>
    </xf>
    <xf numFmtId="0" fontId="54" fillId="7" borderId="0" xfId="0" applyFont="1" applyFill="1" applyAlignment="1" applyProtection="1">
      <alignment horizontal="center" vertical="center"/>
      <protection locked="0"/>
    </xf>
    <xf numFmtId="0" fontId="55" fillId="2" borderId="62" xfId="0" applyFont="1" applyFill="1" applyBorder="1" applyAlignment="1" applyProtection="1">
      <alignment horizontal="center" vertical="center"/>
      <protection hidden="1"/>
    </xf>
    <xf numFmtId="0" fontId="54" fillId="27" borderId="63" xfId="0" applyFont="1" applyFill="1" applyBorder="1" applyAlignment="1" applyProtection="1">
      <alignment horizontal="right" vertical="center" wrapText="1"/>
      <protection locked="0"/>
    </xf>
    <xf numFmtId="0" fontId="54" fillId="27" borderId="66" xfId="0" applyFont="1" applyFill="1" applyBorder="1" applyAlignment="1" applyProtection="1">
      <alignment horizontal="right" vertical="center" wrapText="1"/>
      <protection locked="0"/>
    </xf>
    <xf numFmtId="4" fontId="54" fillId="28" borderId="64" xfId="0" applyNumberFormat="1" applyFont="1" applyFill="1" applyBorder="1" applyAlignment="1" applyProtection="1">
      <alignment horizontal="center" vertical="center"/>
      <protection locked="0"/>
    </xf>
    <xf numFmtId="4" fontId="54" fillId="28" borderId="65" xfId="0" applyNumberFormat="1" applyFont="1" applyFill="1" applyBorder="1" applyAlignment="1" applyProtection="1">
      <alignment horizontal="center" vertical="center"/>
      <protection locked="0"/>
    </xf>
    <xf numFmtId="4" fontId="54" fillId="28" borderId="67" xfId="0" applyNumberFormat="1" applyFont="1" applyFill="1" applyBorder="1" applyAlignment="1" applyProtection="1">
      <alignment horizontal="center" vertical="center"/>
      <protection locked="0"/>
    </xf>
    <xf numFmtId="0" fontId="54" fillId="7" borderId="31" xfId="0" applyFont="1" applyFill="1" applyBorder="1" applyAlignment="1" applyProtection="1">
      <alignment horizontal="center" vertical="center" wrapText="1"/>
      <protection locked="0"/>
    </xf>
    <xf numFmtId="0" fontId="54" fillId="7" borderId="0" xfId="0" applyFont="1" applyFill="1" applyAlignment="1" applyProtection="1">
      <alignment horizontal="center" vertical="center" wrapText="1"/>
      <protection locked="0"/>
    </xf>
    <xf numFmtId="3" fontId="32" fillId="14" borderId="18" xfId="0" applyNumberFormat="1" applyFont="1" applyFill="1" applyBorder="1" applyAlignment="1" applyProtection="1">
      <alignment horizontal="center" vertical="center" wrapText="1"/>
    </xf>
    <xf numFmtId="3" fontId="32" fillId="14" borderId="18" xfId="0" applyNumberFormat="1" applyFont="1" applyFill="1" applyBorder="1" applyAlignment="1" applyProtection="1">
      <alignment horizontal="center" vertical="center" wrapText="1"/>
      <protection locked="0" hidden="1"/>
    </xf>
    <xf numFmtId="177" fontId="32" fillId="14" borderId="18" xfId="0" applyNumberFormat="1" applyFont="1" applyFill="1" applyBorder="1" applyAlignment="1" applyProtection="1">
      <alignment horizontal="center" vertical="center" wrapText="1"/>
    </xf>
    <xf numFmtId="178" fontId="32" fillId="14" borderId="18" xfId="0" applyNumberFormat="1" applyFont="1" applyFill="1" applyBorder="1" applyAlignment="1" applyProtection="1">
      <alignment horizontal="center" vertical="center" wrapText="1"/>
    </xf>
    <xf numFmtId="2" fontId="32" fillId="14" borderId="18" xfId="0" applyNumberFormat="1" applyFont="1" applyFill="1" applyBorder="1" applyAlignment="1" applyProtection="1">
      <alignment horizontal="center" vertical="center" wrapText="1"/>
    </xf>
    <xf numFmtId="4" fontId="32" fillId="14" borderId="54" xfId="0" applyNumberFormat="1" applyFont="1" applyFill="1" applyBorder="1" applyAlignment="1" applyProtection="1">
      <alignment horizontal="center" vertical="center" wrapText="1"/>
    </xf>
    <xf numFmtId="178" fontId="32" fillId="14" borderId="18" xfId="0" applyNumberFormat="1" applyFont="1" applyFill="1" applyBorder="1" applyAlignment="1" applyProtection="1">
      <alignment horizontal="center" vertical="center" wrapText="1"/>
      <protection locked="0" hidden="1"/>
    </xf>
    <xf numFmtId="177" fontId="32" fillId="14" borderId="18" xfId="0" applyNumberFormat="1" applyFont="1" applyFill="1" applyBorder="1" applyAlignment="1" applyProtection="1">
      <alignment horizontal="center" vertical="center" wrapText="1"/>
      <protection locked="0" hidden="1"/>
    </xf>
    <xf numFmtId="2" fontId="32" fillId="14" borderId="18" xfId="0" applyNumberFormat="1" applyFont="1" applyFill="1" applyBorder="1" applyAlignment="1" applyProtection="1">
      <alignment horizontal="center" vertical="center" wrapText="1"/>
      <protection locked="0" hidden="1"/>
    </xf>
    <xf numFmtId="4" fontId="32" fillId="14" borderId="54" xfId="0" applyNumberFormat="1" applyFont="1" applyFill="1" applyBorder="1" applyAlignment="1" applyProtection="1">
      <alignment horizontal="center" vertical="center" wrapText="1"/>
      <protection locked="0" hidden="1"/>
    </xf>
    <xf numFmtId="3" fontId="32" fillId="14" borderId="42" xfId="0" applyNumberFormat="1" applyFont="1" applyFill="1" applyBorder="1" applyAlignment="1" applyProtection="1">
      <alignment horizontal="center" vertical="center"/>
      <protection locked="0" hidden="1"/>
    </xf>
    <xf numFmtId="3" fontId="32" fillId="14" borderId="18" xfId="0" applyNumberFormat="1" applyFont="1" applyFill="1" applyBorder="1" applyAlignment="1" applyProtection="1">
      <alignment horizontal="center" vertical="center" wrapText="1"/>
      <protection locked="0" hidden="1"/>
    </xf>
    <xf numFmtId="0" fontId="43" fillId="3" borderId="0" xfId="0" applyFont="1" applyFill="1" applyAlignment="1" applyProtection="1">
      <alignment vertical="center"/>
    </xf>
    <xf numFmtId="0" fontId="47" fillId="3" borderId="0" xfId="0" applyFont="1" applyFill="1" applyAlignment="1" applyProtection="1">
      <alignment horizontal="right" vertical="center" wrapText="1"/>
    </xf>
    <xf numFmtId="0" fontId="47" fillId="3" borderId="61" xfId="0" applyFont="1" applyFill="1" applyBorder="1" applyAlignment="1" applyProtection="1">
      <alignment horizontal="right" vertical="center" wrapText="1"/>
    </xf>
    <xf numFmtId="0" fontId="47" fillId="3" borderId="0" xfId="0" applyFont="1" applyFill="1" applyAlignment="1" applyProtection="1">
      <alignment horizontal="right" vertical="center" wrapText="1"/>
    </xf>
    <xf numFmtId="0" fontId="48" fillId="3" borderId="0" xfId="0" applyFont="1" applyFill="1" applyAlignment="1" applyProtection="1">
      <alignment horizontal="left" vertical="center" wrapText="1"/>
    </xf>
    <xf numFmtId="0" fontId="49" fillId="3" borderId="0" xfId="0" applyFont="1" applyFill="1" applyAlignment="1" applyProtection="1">
      <alignment horizontal="right" vertical="center" wrapText="1"/>
    </xf>
    <xf numFmtId="0" fontId="47" fillId="3" borderId="0" xfId="0" applyFont="1" applyFill="1" applyAlignment="1" applyProtection="1">
      <alignment vertical="center" wrapText="1"/>
    </xf>
    <xf numFmtId="0" fontId="50" fillId="3" borderId="0" xfId="0" applyFont="1" applyFill="1" applyAlignment="1" applyProtection="1">
      <alignment horizontal="right" vertical="center" wrapText="1"/>
    </xf>
    <xf numFmtId="0" fontId="43" fillId="3" borderId="61" xfId="0" applyFont="1" applyFill="1" applyBorder="1" applyAlignment="1" applyProtection="1">
      <alignment vertical="center"/>
    </xf>
    <xf numFmtId="0" fontId="51" fillId="3" borderId="0" xfId="0" applyFont="1" applyFill="1" applyAlignment="1" applyProtection="1">
      <alignment horizontal="left" vertical="top" wrapText="1"/>
    </xf>
    <xf numFmtId="0" fontId="52" fillId="3" borderId="0" xfId="0" applyFont="1" applyFill="1" applyAlignment="1" applyProtection="1">
      <alignment horizontal="right" vertical="center" wrapText="1"/>
    </xf>
    <xf numFmtId="0" fontId="53" fillId="27" borderId="0" xfId="0" applyFont="1" applyFill="1" applyAlignment="1" applyProtection="1">
      <alignment horizontal="center" vertical="center"/>
    </xf>
    <xf numFmtId="0" fontId="44" fillId="3" borderId="0" xfId="0" applyFont="1" applyFill="1" applyAlignment="1" applyProtection="1">
      <alignment vertical="center"/>
    </xf>
    <xf numFmtId="0" fontId="53" fillId="27" borderId="0" xfId="0" applyFont="1" applyFill="1" applyAlignment="1" applyProtection="1">
      <alignment vertical="center"/>
    </xf>
    <xf numFmtId="0" fontId="56" fillId="27" borderId="0" xfId="0" applyFont="1" applyFill="1" applyAlignment="1" applyProtection="1">
      <alignment horizontal="center" vertical="center"/>
    </xf>
    <xf numFmtId="0" fontId="57" fillId="27" borderId="0" xfId="0" applyFont="1" applyFill="1" applyAlignment="1" applyProtection="1">
      <alignment horizontal="center" vertical="center"/>
    </xf>
    <xf numFmtId="0" fontId="56" fillId="27" borderId="0" xfId="0" applyFont="1" applyFill="1" applyAlignment="1" applyProtection="1">
      <alignment horizontal="right" vertical="center"/>
    </xf>
    <xf numFmtId="4" fontId="59" fillId="27" borderId="0" xfId="0" applyNumberFormat="1" applyFont="1" applyFill="1" applyAlignment="1" applyProtection="1">
      <alignment horizontal="right" vertical="center"/>
    </xf>
    <xf numFmtId="4" fontId="60" fillId="27" borderId="0" xfId="0" applyNumberFormat="1" applyFont="1" applyFill="1" applyAlignment="1" applyProtection="1">
      <alignment horizontal="left" vertical="center"/>
    </xf>
    <xf numFmtId="0" fontId="56" fillId="27" borderId="0" xfId="0" applyFont="1" applyFill="1" applyAlignment="1" applyProtection="1">
      <alignment vertical="center"/>
    </xf>
    <xf numFmtId="0" fontId="56" fillId="27" borderId="0" xfId="0" applyFont="1" applyFill="1" applyAlignment="1" applyProtection="1">
      <alignment horizontal="right" vertical="center"/>
    </xf>
    <xf numFmtId="4" fontId="61" fillId="27" borderId="0" xfId="0" applyNumberFormat="1" applyFont="1" applyFill="1" applyAlignment="1" applyProtection="1">
      <alignment horizontal="center" vertical="center"/>
    </xf>
    <xf numFmtId="0" fontId="56" fillId="27" borderId="68" xfId="0" applyFont="1" applyFill="1" applyBorder="1" applyAlignment="1" applyProtection="1">
      <alignment horizontal="right" vertical="center"/>
    </xf>
    <xf numFmtId="4" fontId="59" fillId="27" borderId="68" xfId="0" applyNumberFormat="1" applyFont="1" applyFill="1" applyBorder="1" applyAlignment="1" applyProtection="1">
      <alignment horizontal="right" vertical="center"/>
    </xf>
    <xf numFmtId="4" fontId="60" fillId="27" borderId="68" xfId="0" applyNumberFormat="1" applyFont="1" applyFill="1" applyBorder="1" applyAlignment="1" applyProtection="1">
      <alignment horizontal="left" vertical="center"/>
    </xf>
    <xf numFmtId="0" fontId="62" fillId="27" borderId="0" xfId="0" applyFont="1" applyFill="1" applyAlignment="1" applyProtection="1">
      <alignment vertical="center"/>
    </xf>
    <xf numFmtId="0" fontId="63" fillId="27" borderId="0" xfId="0" applyFont="1" applyFill="1" applyAlignment="1" applyProtection="1">
      <alignment vertical="center"/>
    </xf>
    <xf numFmtId="0" fontId="56" fillId="27" borderId="69" xfId="0" applyFont="1" applyFill="1" applyBorder="1" applyAlignment="1" applyProtection="1">
      <alignment horizontal="right" vertical="center"/>
    </xf>
    <xf numFmtId="4" fontId="59" fillId="27" borderId="69" xfId="0" applyNumberFormat="1" applyFont="1" applyFill="1" applyBorder="1" applyAlignment="1" applyProtection="1">
      <alignment horizontal="right" vertical="center"/>
    </xf>
    <xf numFmtId="4" fontId="60" fillId="27" borderId="69" xfId="0" applyNumberFormat="1" applyFont="1" applyFill="1" applyBorder="1" applyAlignment="1" applyProtection="1">
      <alignment horizontal="left" vertical="center"/>
    </xf>
    <xf numFmtId="0" fontId="64" fillId="3" borderId="0" xfId="0" applyFont="1" applyFill="1" applyAlignment="1" applyProtection="1">
      <alignment vertical="center"/>
    </xf>
    <xf numFmtId="0" fontId="56" fillId="27" borderId="0" xfId="0" applyFont="1" applyFill="1" applyAlignment="1" applyProtection="1">
      <alignment horizontal="left" vertical="top"/>
    </xf>
    <xf numFmtId="0" fontId="57" fillId="27" borderId="0" xfId="0" applyFont="1" applyFill="1" applyAlignment="1" applyProtection="1">
      <alignment vertical="center"/>
    </xf>
    <xf numFmtId="0" fontId="62" fillId="27" borderId="0" xfId="0" applyFont="1" applyFill="1" applyAlignment="1" applyProtection="1">
      <alignment horizontal="center" vertical="center"/>
    </xf>
    <xf numFmtId="4" fontId="59" fillId="27" borderId="0" xfId="0" applyNumberFormat="1" applyFont="1" applyFill="1" applyAlignment="1" applyProtection="1">
      <alignment vertical="center"/>
    </xf>
    <xf numFmtId="4" fontId="59" fillId="27" borderId="0" xfId="0" applyNumberFormat="1" applyFont="1" applyFill="1" applyAlignment="1" applyProtection="1">
      <alignment horizontal="right" vertical="center"/>
    </xf>
    <xf numFmtId="4" fontId="60" fillId="27" borderId="0" xfId="0" applyNumberFormat="1" applyFont="1" applyFill="1" applyAlignment="1" applyProtection="1">
      <alignment vertical="center"/>
    </xf>
    <xf numFmtId="4" fontId="68" fillId="27" borderId="0" xfId="0" applyNumberFormat="1" applyFont="1" applyFill="1" applyAlignment="1" applyProtection="1">
      <alignment horizontal="right" vertical="center"/>
    </xf>
    <xf numFmtId="0" fontId="70" fillId="27" borderId="0" xfId="0" applyFont="1" applyFill="1" applyAlignment="1" applyProtection="1">
      <alignment horizontal="right" vertical="center"/>
    </xf>
    <xf numFmtId="0" fontId="62" fillId="27" borderId="0" xfId="0" applyFont="1" applyFill="1" applyAlignment="1" applyProtection="1">
      <alignment horizontal="right" vertical="center"/>
    </xf>
    <xf numFmtId="0" fontId="71" fillId="27" borderId="0" xfId="0" applyFont="1" applyFill="1" applyAlignment="1" applyProtection="1">
      <alignment vertical="top" wrapText="1"/>
    </xf>
    <xf numFmtId="0" fontId="72" fillId="27" borderId="0" xfId="0" applyFont="1" applyFill="1" applyAlignment="1" applyProtection="1">
      <alignment horizontal="right" vertical="center"/>
    </xf>
    <xf numFmtId="0" fontId="62" fillId="27" borderId="0" xfId="0" applyFont="1" applyFill="1" applyAlignment="1" applyProtection="1">
      <alignment horizontal="left" vertical="center" wrapText="1"/>
    </xf>
    <xf numFmtId="0" fontId="44" fillId="2" borderId="0" xfId="0" applyFont="1" applyFill="1" applyAlignment="1" applyProtection="1">
      <alignment vertical="center"/>
    </xf>
    <xf numFmtId="0" fontId="54" fillId="7" borderId="31" xfId="0" applyFont="1" applyFill="1" applyBorder="1" applyAlignment="1" applyProtection="1">
      <alignment horizontal="center" vertical="center" wrapText="1"/>
    </xf>
    <xf numFmtId="0" fontId="54" fillId="7" borderId="0" xfId="0" applyFont="1" applyFill="1" applyAlignment="1" applyProtection="1">
      <alignment horizontal="center" vertical="center" wrapText="1"/>
    </xf>
    <xf numFmtId="0" fontId="45" fillId="2" borderId="0" xfId="0" applyFont="1" applyFill="1" applyAlignment="1" applyProtection="1">
      <alignment vertical="center"/>
    </xf>
    <xf numFmtId="0" fontId="46" fillId="2" borderId="0" xfId="0" applyFont="1" applyFill="1" applyAlignment="1" applyProtection="1">
      <alignment vertical="center"/>
    </xf>
    <xf numFmtId="0" fontId="55" fillId="2" borderId="62" xfId="0" applyFont="1" applyFill="1" applyBorder="1" applyAlignment="1" applyProtection="1">
      <alignment horizontal="right" vertical="center"/>
    </xf>
    <xf numFmtId="4" fontId="45" fillId="2" borderId="62" xfId="0" applyNumberFormat="1" applyFont="1" applyFill="1" applyBorder="1" applyAlignment="1" applyProtection="1">
      <alignment horizontal="center" vertical="center"/>
    </xf>
    <xf numFmtId="0" fontId="55" fillId="2" borderId="70" xfId="0" applyFont="1" applyFill="1" applyBorder="1" applyAlignment="1" applyProtection="1">
      <alignment horizontal="center" vertical="center"/>
    </xf>
    <xf numFmtId="0" fontId="55" fillId="2" borderId="10" xfId="0" applyFont="1" applyFill="1" applyBorder="1" applyAlignment="1" applyProtection="1">
      <alignment horizontal="center" vertical="center"/>
    </xf>
    <xf numFmtId="0" fontId="45" fillId="2" borderId="62" xfId="0" applyFont="1" applyFill="1" applyBorder="1" applyAlignment="1" applyProtection="1">
      <alignment vertical="center"/>
    </xf>
    <xf numFmtId="0" fontId="55" fillId="2" borderId="62" xfId="0" applyFont="1" applyFill="1" applyBorder="1" applyAlignment="1" applyProtection="1">
      <alignment horizontal="center" vertical="center"/>
    </xf>
    <xf numFmtId="4" fontId="66" fillId="2" borderId="62" xfId="0" applyNumberFormat="1" applyFont="1" applyFill="1" applyBorder="1" applyAlignment="1" applyProtection="1">
      <alignment horizontal="center" vertical="center"/>
    </xf>
    <xf numFmtId="0" fontId="58" fillId="2" borderId="0" xfId="0" applyFont="1" applyFill="1" applyAlignment="1" applyProtection="1">
      <alignment vertical="center"/>
    </xf>
    <xf numFmtId="0" fontId="55" fillId="2" borderId="62" xfId="0" applyFont="1" applyFill="1" applyBorder="1" applyAlignment="1" applyProtection="1">
      <alignment horizontal="center" vertical="center"/>
    </xf>
    <xf numFmtId="179" fontId="45" fillId="2" borderId="62" xfId="1" applyNumberFormat="1" applyFont="1" applyFill="1" applyBorder="1" applyAlignment="1" applyProtection="1">
      <alignment horizontal="center" vertical="center"/>
    </xf>
    <xf numFmtId="0" fontId="45" fillId="2" borderId="62" xfId="0" applyFont="1" applyFill="1" applyBorder="1" applyAlignment="1" applyProtection="1">
      <alignment horizontal="center" vertical="center"/>
    </xf>
    <xf numFmtId="0" fontId="67" fillId="2" borderId="0" xfId="0" applyFont="1" applyFill="1" applyAlignment="1" applyProtection="1">
      <alignment horizontal="left" vertical="center"/>
    </xf>
    <xf numFmtId="0" fontId="69" fillId="2" borderId="0" xfId="0" applyFont="1" applyFill="1" applyProtection="1"/>
    <xf numFmtId="0" fontId="69" fillId="2" borderId="0" xfId="0" applyFont="1" applyFill="1" applyAlignment="1" applyProtection="1">
      <alignment vertical="center"/>
    </xf>
    <xf numFmtId="0" fontId="3" fillId="2" borderId="0" xfId="0" applyFont="1" applyFill="1" applyProtection="1"/>
  </cellXfs>
  <cellStyles count="4">
    <cellStyle name="Hyperlink" xfId="2" builtinId="8"/>
    <cellStyle name="Normal" xfId="0" builtinId="0"/>
    <cellStyle name="Normal 4" xfId="3" xr:uid="{636187AC-E5D2-4B37-B0B0-84991958DED1}"/>
    <cellStyle name="Percent" xfId="1" builtinId="5"/>
  </cellStyles>
  <dxfs count="11">
    <dxf>
      <font>
        <color theme="1" tint="0.499984740745262"/>
      </font>
    </dxf>
    <dxf>
      <font>
        <color theme="1" tint="0.499984740745262"/>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rgbClr val="3BA18C"/>
              </a:solidFill>
              <a:ln w="6350">
                <a:solidFill>
                  <a:srgbClr val="ABDFD4"/>
                </a:solidFill>
              </a:ln>
              <a:effectLst/>
            </c:spPr>
            <c:extLst>
              <c:ext xmlns:c16="http://schemas.microsoft.com/office/drawing/2014/chart" uri="{C3380CC4-5D6E-409C-BE32-E72D297353CC}">
                <c16:uniqueId val="{00000001-3E25-4819-8898-707F6AA822DD}"/>
              </c:ext>
            </c:extLst>
          </c:dPt>
          <c:dPt>
            <c:idx val="1"/>
            <c:bubble3D val="0"/>
            <c:spPr>
              <a:noFill/>
              <a:ln w="6350">
                <a:solidFill>
                  <a:srgbClr val="ABDFD4"/>
                </a:solidFill>
              </a:ln>
              <a:effectLst/>
            </c:spPr>
            <c:extLst>
              <c:ext xmlns:c16="http://schemas.microsoft.com/office/drawing/2014/chart" uri="{C3380CC4-5D6E-409C-BE32-E72D297353CC}">
                <c16:uniqueId val="{00000003-3E25-4819-8898-707F6AA822DD}"/>
              </c:ext>
            </c:extLst>
          </c:dPt>
          <c:dLbls>
            <c:dLbl>
              <c:idx val="1"/>
              <c:delete val="1"/>
              <c:extLst>
                <c:ext xmlns:c15="http://schemas.microsoft.com/office/drawing/2012/chart" uri="{CE6537A1-D6FC-4f65-9D91-7224C49458BB}"/>
                <c:ext xmlns:c16="http://schemas.microsoft.com/office/drawing/2014/chart" uri="{C3380CC4-5D6E-409C-BE32-E72D297353CC}">
                  <c16:uniqueId val="{00000003-3E25-4819-8898-707F6AA822DD}"/>
                </c:ext>
              </c:extLst>
            </c:dLbl>
            <c:spPr>
              <a:solidFill>
                <a:srgbClr val="ABDFD4"/>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0A806E"/>
                    </a:solidFill>
                    <a:latin typeface="Century Gothic" panose="020B0502020202020204" pitchFamily="34" charset="0"/>
                    <a:ea typeface="+mn-ea"/>
                    <a:cs typeface="GothicE" panose="00000400000000000000" pitchFamily="2" charset="0"/>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'Results at a Glance'!$T$7:$T$8</c:f>
              <c:strCache>
                <c:ptCount val="2"/>
                <c:pt idx="0">
                  <c:v>RE</c:v>
                </c:pt>
                <c:pt idx="1">
                  <c:v>Other</c:v>
                </c:pt>
              </c:strCache>
            </c:strRef>
          </c:cat>
          <c:val>
            <c:numRef>
              <c:f>'Results at a Glance'!$U$7:$U$8</c:f>
              <c:numCache>
                <c:formatCode>#,##0.00</c:formatCode>
                <c:ptCount val="2"/>
                <c:pt idx="0">
                  <c:v>0</c:v>
                </c:pt>
                <c:pt idx="1">
                  <c:v>0</c:v>
                </c:pt>
              </c:numCache>
            </c:numRef>
          </c:val>
          <c:extLst>
            <c:ext xmlns:c16="http://schemas.microsoft.com/office/drawing/2014/chart" uri="{C3380CC4-5D6E-409C-BE32-E72D297353CC}">
              <c16:uniqueId val="{00000004-3E25-4819-8898-707F6AA822D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
          <c:y val="0"/>
          <c:w val="1"/>
          <c:h val="1"/>
        </c:manualLayout>
      </c:layout>
      <c:bubbleChart>
        <c:varyColors val="0"/>
        <c:ser>
          <c:idx val="0"/>
          <c:order val="0"/>
          <c:tx>
            <c:strRef>
              <c:f>'Results at a Glance'!$U$34</c:f>
              <c:strCache>
                <c:ptCount val="1"/>
                <c:pt idx="0">
                  <c:v>CO₂</c:v>
                </c:pt>
              </c:strCache>
            </c:strRef>
          </c:tx>
          <c:spPr>
            <a:solidFill>
              <a:schemeClr val="accent1">
                <a:shade val="65000"/>
                <a:alpha val="75000"/>
              </a:schemeClr>
            </a:solidFill>
            <a:ln>
              <a:noFill/>
            </a:ln>
            <a:effectLst/>
          </c:spPr>
          <c:invertIfNegative val="0"/>
          <c:dLbls>
            <c:spPr>
              <a:noFill/>
              <a:ln>
                <a:noFill/>
              </a:ln>
              <a:effectLst/>
            </c:spPr>
            <c:txPr>
              <a:bodyPr rot="0" spcFirstLastPara="1" vertOverflow="ellipsis" horzOverflow="clip" vert="horz" wrap="square" lIns="0" tIns="0" rIns="0" bIns="0" anchor="ctr" anchorCtr="1">
                <a:spAutoFit/>
              </a:bodyPr>
              <a:lstStyle/>
              <a:p>
                <a:pPr>
                  <a:defRPr sz="800" b="1" i="0" u="none" strike="noStrike" kern="1200" baseline="0">
                    <a:solidFill>
                      <a:srgbClr val="3BA18C"/>
                    </a:solidFill>
                    <a:latin typeface="Century Gothic" panose="020B0502020202020204" pitchFamily="34" charset="0"/>
                    <a:ea typeface="+mn-ea"/>
                    <a:cs typeface="+mn-cs"/>
                  </a:defRPr>
                </a:pPr>
                <a:endParaRPr lang="en-US"/>
              </a:p>
            </c:txPr>
            <c:dLblPos val="r"/>
            <c:showLegendKey val="0"/>
            <c:showVal val="0"/>
            <c:showCatName val="0"/>
            <c:showSerName val="1"/>
            <c:showPercent val="0"/>
            <c:showBubbleSize val="1"/>
            <c:separator>
</c:separator>
            <c:showLeaderLines val="0"/>
            <c:extLst>
              <c:ext xmlns:c15="http://schemas.microsoft.com/office/drawing/2012/chart" uri="{CE6537A1-D6FC-4f65-9D91-7224C49458BB}">
                <c15:spPr xmlns:c15="http://schemas.microsoft.com/office/drawing/2012/chart">
                  <a:prstGeom prst="rect">
                    <a:avLst/>
                  </a:prstGeom>
                  <a:noFill/>
                  <a:ln>
                    <a:noFill/>
                  </a:ln>
                </c15:spPr>
                <c15:showLeaderLines val="0"/>
              </c:ext>
            </c:extLst>
          </c:dLbls>
          <c:xVal>
            <c:numRef>
              <c:f>'Results at a Glance'!$U$35</c:f>
              <c:numCache>
                <c:formatCode>#,##0.00</c:formatCode>
                <c:ptCount val="1"/>
                <c:pt idx="0">
                  <c:v>0.08</c:v>
                </c:pt>
              </c:numCache>
            </c:numRef>
          </c:xVal>
          <c:yVal>
            <c:numRef>
              <c:f>'Results at a Glance'!$U$36</c:f>
              <c:numCache>
                <c:formatCode>#,##0.00</c:formatCode>
                <c:ptCount val="1"/>
                <c:pt idx="0">
                  <c:v>0.05</c:v>
                </c:pt>
              </c:numCache>
            </c:numRef>
          </c:yVal>
          <c:bubbleSize>
            <c:numRef>
              <c:f>'Results at a Glance'!$U$37</c:f>
              <c:numCache>
                <c:formatCode>#,##0.00</c:formatCode>
                <c:ptCount val="1"/>
                <c:pt idx="0">
                  <c:v>1</c:v>
                </c:pt>
              </c:numCache>
            </c:numRef>
          </c:bubbleSize>
          <c:bubble3D val="1"/>
          <c:extLst>
            <c:ext xmlns:c16="http://schemas.microsoft.com/office/drawing/2014/chart" uri="{C3380CC4-5D6E-409C-BE32-E72D297353CC}">
              <c16:uniqueId val="{00000000-5B71-4ECE-97AB-D4039325E289}"/>
            </c:ext>
          </c:extLst>
        </c:ser>
        <c:ser>
          <c:idx val="1"/>
          <c:order val="1"/>
          <c:tx>
            <c:strRef>
              <c:f>'Results at a Glance'!$V$34</c:f>
              <c:strCache>
                <c:ptCount val="1"/>
                <c:pt idx="0">
                  <c:v>CH₄</c:v>
                </c:pt>
              </c:strCache>
            </c:strRef>
          </c:tx>
          <c:spPr>
            <a:solidFill>
              <a:schemeClr val="accent1">
                <a:alpha val="75000"/>
              </a:schemeClr>
            </a:solidFill>
            <a:ln>
              <a:noFill/>
            </a:ln>
            <a:effectLst/>
          </c:spPr>
          <c:invertIfNegative val="0"/>
          <c:dLbls>
            <c:spPr>
              <a:noFill/>
              <a:ln>
                <a:noFill/>
              </a:ln>
              <a:effectLst/>
            </c:spPr>
            <c:txPr>
              <a:bodyPr rot="0" spcFirstLastPara="1" vertOverflow="ellipsis" horzOverflow="clip" vert="horz" wrap="square" lIns="0" tIns="0" rIns="0" bIns="0" anchor="ctr" anchorCtr="0">
                <a:spAutoFit/>
              </a:bodyPr>
              <a:lstStyle/>
              <a:p>
                <a:pPr algn="ctr">
                  <a:defRPr sz="800" b="1" i="0" u="none" strike="noStrike" kern="1200" baseline="0">
                    <a:solidFill>
                      <a:srgbClr val="3BA18C"/>
                    </a:solidFill>
                    <a:latin typeface="Century Gothic" panose="020B0502020202020204" pitchFamily="34" charset="0"/>
                    <a:ea typeface="+mn-ea"/>
                    <a:cs typeface="+mn-cs"/>
                  </a:defRPr>
                </a:pPr>
                <a:endParaRPr lang="en-US"/>
              </a:p>
            </c:txPr>
            <c:dLblPos val="t"/>
            <c:showLegendKey val="0"/>
            <c:showVal val="0"/>
            <c:showCatName val="0"/>
            <c:showSerName val="1"/>
            <c:showPercent val="0"/>
            <c:showBubbleSize val="1"/>
            <c:separator>
</c:separator>
            <c:showLeaderLines val="0"/>
            <c:extLst>
              <c:ext xmlns:c15="http://schemas.microsoft.com/office/drawing/2012/chart" uri="{CE6537A1-D6FC-4f65-9D91-7224C49458BB}">
                <c15:spPr xmlns:c15="http://schemas.microsoft.com/office/drawing/2012/chart">
                  <a:prstGeom prst="rect">
                    <a:avLst/>
                  </a:prstGeom>
                  <a:noFill/>
                  <a:ln>
                    <a:noFill/>
                  </a:ln>
                </c15:spPr>
                <c15:showLeaderLines val="0"/>
              </c:ext>
            </c:extLst>
          </c:dLbls>
          <c:xVal>
            <c:numRef>
              <c:f>'Results at a Glance'!$V$35</c:f>
              <c:numCache>
                <c:formatCode>General</c:formatCode>
                <c:ptCount val="1"/>
                <c:pt idx="0">
                  <c:v>7.4999999999999997E-2</c:v>
                </c:pt>
              </c:numCache>
            </c:numRef>
          </c:xVal>
          <c:yVal>
            <c:numRef>
              <c:f>'Results at a Glance'!$V$36</c:f>
              <c:numCache>
                <c:formatCode>General</c:formatCode>
                <c:ptCount val="1"/>
                <c:pt idx="0">
                  <c:v>7.4999999999999997E-2</c:v>
                </c:pt>
              </c:numCache>
            </c:numRef>
          </c:yVal>
          <c:bubbleSize>
            <c:numRef>
              <c:f>'Results at a Glance'!$V$37</c:f>
              <c:numCache>
                <c:formatCode>General</c:formatCode>
                <c:ptCount val="1"/>
                <c:pt idx="0">
                  <c:v>28</c:v>
                </c:pt>
              </c:numCache>
            </c:numRef>
          </c:bubbleSize>
          <c:bubble3D val="1"/>
          <c:extLst>
            <c:ext xmlns:c16="http://schemas.microsoft.com/office/drawing/2014/chart" uri="{C3380CC4-5D6E-409C-BE32-E72D297353CC}">
              <c16:uniqueId val="{00000001-5B71-4ECE-97AB-D4039325E289}"/>
            </c:ext>
          </c:extLst>
        </c:ser>
        <c:ser>
          <c:idx val="2"/>
          <c:order val="2"/>
          <c:tx>
            <c:strRef>
              <c:f>'Results at a Glance'!$W$34</c:f>
              <c:strCache>
                <c:ptCount val="1"/>
                <c:pt idx="0">
                  <c:v>N₂O</c:v>
                </c:pt>
              </c:strCache>
            </c:strRef>
          </c:tx>
          <c:spPr>
            <a:solidFill>
              <a:schemeClr val="accent1">
                <a:tint val="65000"/>
                <a:alpha val="75000"/>
              </a:schemeClr>
            </a:solidFill>
            <a:ln>
              <a:noFill/>
            </a:ln>
            <a:effectLst/>
          </c:spPr>
          <c:invertIfNegative val="0"/>
          <c:dLbls>
            <c:spPr>
              <a:noFill/>
              <a:ln>
                <a:noFill/>
              </a:ln>
              <a:effectLst/>
            </c:spPr>
            <c:txPr>
              <a:bodyPr rot="0" spcFirstLastPara="1" vertOverflow="ellipsis" horzOverflow="clip" vert="horz" wrap="square" lIns="0" tIns="0" rIns="0" bIns="0" anchor="ctr" anchorCtr="1">
                <a:spAutoFit/>
              </a:bodyPr>
              <a:lstStyle/>
              <a:p>
                <a:pPr>
                  <a:defRPr sz="800" b="1" i="0" u="none" strike="noStrike" kern="1200" baseline="0">
                    <a:solidFill>
                      <a:srgbClr val="3BA18C"/>
                    </a:solidFill>
                    <a:latin typeface="Century Gothic" panose="020B0502020202020204" pitchFamily="34" charset="0"/>
                    <a:ea typeface="+mn-ea"/>
                    <a:cs typeface="+mn-cs"/>
                  </a:defRPr>
                </a:pPr>
                <a:endParaRPr lang="en-US"/>
              </a:p>
            </c:txPr>
            <c:dLblPos val="ctr"/>
            <c:showLegendKey val="0"/>
            <c:showVal val="0"/>
            <c:showCatName val="0"/>
            <c:showSerName val="1"/>
            <c:showPercent val="0"/>
            <c:showBubbleSize val="1"/>
            <c:separator>
</c:separator>
            <c:showLeaderLines val="0"/>
            <c:extLst>
              <c:ext xmlns:c15="http://schemas.microsoft.com/office/drawing/2012/chart" uri="{CE6537A1-D6FC-4f65-9D91-7224C49458BB}">
                <c15:spPr xmlns:c15="http://schemas.microsoft.com/office/drawing/2012/chart">
                  <a:prstGeom prst="rect">
                    <a:avLst/>
                  </a:prstGeom>
                  <a:noFill/>
                  <a:ln>
                    <a:noFill/>
                  </a:ln>
                </c15:spPr>
                <c15:showLeaderLines val="0"/>
              </c:ext>
            </c:extLst>
          </c:dLbls>
          <c:xVal>
            <c:numRef>
              <c:f>'Results at a Glance'!$W$35</c:f>
              <c:numCache>
                <c:formatCode>#,##0.00</c:formatCode>
                <c:ptCount val="1"/>
                <c:pt idx="0">
                  <c:v>0.05</c:v>
                </c:pt>
              </c:numCache>
            </c:numRef>
          </c:xVal>
          <c:yVal>
            <c:numRef>
              <c:f>'Results at a Glance'!$W$36</c:f>
              <c:numCache>
                <c:formatCode>#,##0.00</c:formatCode>
                <c:ptCount val="1"/>
                <c:pt idx="0">
                  <c:v>0.05</c:v>
                </c:pt>
              </c:numCache>
            </c:numRef>
          </c:yVal>
          <c:bubbleSize>
            <c:numRef>
              <c:f>'Results at a Glance'!$W$37</c:f>
              <c:numCache>
                <c:formatCode>#,##0.00</c:formatCode>
                <c:ptCount val="1"/>
                <c:pt idx="0">
                  <c:v>265</c:v>
                </c:pt>
              </c:numCache>
            </c:numRef>
          </c:bubbleSize>
          <c:bubble3D val="1"/>
          <c:extLst>
            <c:ext xmlns:c16="http://schemas.microsoft.com/office/drawing/2014/chart" uri="{C3380CC4-5D6E-409C-BE32-E72D297353CC}">
              <c16:uniqueId val="{00000002-5B71-4ECE-97AB-D4039325E289}"/>
            </c:ext>
          </c:extLst>
        </c:ser>
        <c:dLbls>
          <c:showLegendKey val="0"/>
          <c:showVal val="0"/>
          <c:showCatName val="0"/>
          <c:showSerName val="0"/>
          <c:showPercent val="0"/>
          <c:showBubbleSize val="0"/>
        </c:dLbls>
        <c:bubbleScale val="100"/>
        <c:showNegBubbles val="0"/>
        <c:axId val="1390683823"/>
        <c:axId val="1390682383"/>
      </c:bubbleChart>
      <c:valAx>
        <c:axId val="1390683823"/>
        <c:scaling>
          <c:orientation val="minMax"/>
          <c:max val="0.30000000000000004"/>
          <c:min val="0"/>
        </c:scaling>
        <c:delete val="1"/>
        <c:axPos val="b"/>
        <c:numFmt formatCode="#,##0.00" sourceLinked="1"/>
        <c:majorTickMark val="none"/>
        <c:minorTickMark val="none"/>
        <c:tickLblPos val="nextTo"/>
        <c:crossAx val="1390682383"/>
        <c:crosses val="autoZero"/>
        <c:crossBetween val="midCat"/>
        <c:majorUnit val="0.30000000000000004"/>
        <c:minorUnit val="0.30000000000000004"/>
      </c:valAx>
      <c:valAx>
        <c:axId val="1390682383"/>
        <c:scaling>
          <c:orientation val="minMax"/>
          <c:max val="0.30000000000000004"/>
          <c:min val="0"/>
        </c:scaling>
        <c:delete val="1"/>
        <c:axPos val="l"/>
        <c:numFmt formatCode="#,##0.00" sourceLinked="1"/>
        <c:majorTickMark val="none"/>
        <c:minorTickMark val="none"/>
        <c:tickLblPos val="nextTo"/>
        <c:crossAx val="1390683823"/>
        <c:crosses val="autoZero"/>
        <c:crossBetween val="midCat"/>
        <c:majorUnit val="0.30000000000000004"/>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doughnutChart>
        <c:varyColors val="1"/>
        <c:ser>
          <c:idx val="0"/>
          <c:order val="0"/>
          <c:dPt>
            <c:idx val="0"/>
            <c:bubble3D val="0"/>
            <c:spPr>
              <a:solidFill>
                <a:srgbClr val="0A806E"/>
              </a:solidFill>
              <a:ln w="19050">
                <a:solidFill>
                  <a:schemeClr val="lt1"/>
                </a:solidFill>
              </a:ln>
              <a:effectLst/>
            </c:spPr>
            <c:extLst>
              <c:ext xmlns:c16="http://schemas.microsoft.com/office/drawing/2014/chart" uri="{C3380CC4-5D6E-409C-BE32-E72D297353CC}">
                <c16:uniqueId val="{00000001-5886-48C6-832D-63976F3ABA1B}"/>
              </c:ext>
            </c:extLst>
          </c:dPt>
          <c:dPt>
            <c:idx val="1"/>
            <c:bubble3D val="0"/>
            <c:spPr>
              <a:solidFill>
                <a:srgbClr val="3BA18C"/>
              </a:solidFill>
              <a:ln w="19050">
                <a:solidFill>
                  <a:schemeClr val="lt1"/>
                </a:solidFill>
              </a:ln>
              <a:effectLst/>
            </c:spPr>
            <c:extLst>
              <c:ext xmlns:c16="http://schemas.microsoft.com/office/drawing/2014/chart" uri="{C3380CC4-5D6E-409C-BE32-E72D297353CC}">
                <c16:uniqueId val="{00000003-5886-48C6-832D-63976F3ABA1B}"/>
              </c:ext>
            </c:extLst>
          </c:dPt>
          <c:dPt>
            <c:idx val="2"/>
            <c:bubble3D val="0"/>
            <c:spPr>
              <a:solidFill>
                <a:srgbClr val="4ABAA2"/>
              </a:solidFill>
              <a:ln w="19050">
                <a:solidFill>
                  <a:schemeClr val="lt1"/>
                </a:solidFill>
              </a:ln>
              <a:effectLst/>
            </c:spPr>
            <c:extLst>
              <c:ext xmlns:c16="http://schemas.microsoft.com/office/drawing/2014/chart" uri="{C3380CC4-5D6E-409C-BE32-E72D297353CC}">
                <c16:uniqueId val="{00000005-5886-48C6-832D-63976F3ABA1B}"/>
              </c:ext>
            </c:extLst>
          </c:dPt>
          <c:dPt>
            <c:idx val="3"/>
            <c:bubble3D val="0"/>
            <c:spPr>
              <a:solidFill>
                <a:srgbClr val="95D7C9"/>
              </a:solidFill>
              <a:ln w="19050">
                <a:solidFill>
                  <a:schemeClr val="lt1"/>
                </a:solidFill>
              </a:ln>
              <a:effectLst/>
            </c:spPr>
            <c:extLst>
              <c:ext xmlns:c16="http://schemas.microsoft.com/office/drawing/2014/chart" uri="{C3380CC4-5D6E-409C-BE32-E72D297353CC}">
                <c16:uniqueId val="{00000007-5886-48C6-832D-63976F3ABA1B}"/>
              </c:ext>
            </c:extLst>
          </c:dPt>
          <c:dPt>
            <c:idx val="4"/>
            <c:bubble3D val="0"/>
            <c:spPr>
              <a:solidFill>
                <a:srgbClr val="ABDFD4"/>
              </a:solidFill>
              <a:ln w="19050">
                <a:solidFill>
                  <a:schemeClr val="lt1"/>
                </a:solidFill>
              </a:ln>
              <a:effectLst/>
            </c:spPr>
            <c:extLst>
              <c:ext xmlns:c16="http://schemas.microsoft.com/office/drawing/2014/chart" uri="{C3380CC4-5D6E-409C-BE32-E72D297353CC}">
                <c16:uniqueId val="{00000009-5886-48C6-832D-63976F3ABA1B}"/>
              </c:ext>
            </c:extLst>
          </c:dPt>
          <c:dLbls>
            <c:spPr>
              <a:solidFill>
                <a:srgbClr val="E6FEF6"/>
              </a:solid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A806E"/>
                    </a:solidFill>
                    <a:latin typeface="Century Gothic" panose="020B0502020202020204" pitchFamily="34" charset="0"/>
                    <a:ea typeface="Calibri" panose="020F0502020204030204" pitchFamily="34" charset="0"/>
                    <a:cs typeface="Calibri" panose="020F0502020204030204" pitchFamily="34" charset="0"/>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'Results at a Glance'!$T$11:$T$15</c:f>
              <c:strCache>
                <c:ptCount val="5"/>
                <c:pt idx="0">
                  <c:v>Purchased Electricity</c:v>
                </c:pt>
                <c:pt idx="1">
                  <c:v>Produced Electricity</c:v>
                </c:pt>
                <c:pt idx="2">
                  <c:v>Heating &amp; Process</c:v>
                </c:pt>
                <c:pt idx="3">
                  <c:v>Transport</c:v>
                </c:pt>
                <c:pt idx="4">
                  <c:v>Cooking</c:v>
                </c:pt>
              </c:strCache>
            </c:strRef>
          </c:cat>
          <c:val>
            <c:numRef>
              <c:f>'Results at a Glance'!$U$11:$U$15</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A-5886-48C6-832D-63976F3ABA1B}"/>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324814998239629E-3"/>
          <c:y val="2.8194444444444459E-2"/>
          <c:w val="0.99586751850017607"/>
          <c:h val="0.92087962962962966"/>
        </c:manualLayout>
      </c:layout>
      <c:barChart>
        <c:barDir val="col"/>
        <c:grouping val="stacked"/>
        <c:varyColors val="0"/>
        <c:ser>
          <c:idx val="0"/>
          <c:order val="0"/>
          <c:tx>
            <c:strRef>
              <c:f>'Results at a Glance'!$T$29</c:f>
              <c:strCache>
                <c:ptCount val="1"/>
                <c:pt idx="0">
                  <c:v>Mitigated</c:v>
                </c:pt>
              </c:strCache>
            </c:strRef>
          </c:tx>
          <c:spPr>
            <a:solidFill>
              <a:srgbClr val="3BA18C"/>
            </a:solidFill>
            <a:ln>
              <a:solidFill>
                <a:srgbClr val="3BA18C"/>
              </a:solidFill>
            </a:ln>
            <a:effectLst/>
          </c:spPr>
          <c:invertIfNegative val="0"/>
          <c:dLbls>
            <c:dLbl>
              <c:idx val="0"/>
              <c:tx>
                <c:rich>
                  <a:bodyPr rot="0" spcFirstLastPara="1" vertOverflow="ellipsis" vert="horz" wrap="square" lIns="38100" tIns="19050" rIns="38100" bIns="19050" anchor="ctr" anchorCtr="1">
                    <a:spAutoFit/>
                  </a:bodyPr>
                  <a:lstStyle/>
                  <a:p>
                    <a:pPr>
                      <a:defRPr sz="900" b="1" i="0" u="none" strike="noStrike" kern="1200" baseline="0">
                        <a:solidFill>
                          <a:srgbClr val="ABDFD4"/>
                        </a:solidFill>
                        <a:latin typeface="Century Gothic" panose="020B0502020202020204" pitchFamily="34" charset="0"/>
                        <a:ea typeface="+mn-ea"/>
                        <a:cs typeface="+mn-cs"/>
                      </a:defRPr>
                    </a:pPr>
                    <a:fld id="{CDA5E038-3066-4888-95FC-7D46BC808EE3}" type="VALUE">
                      <a:rPr lang="en-US" b="1">
                        <a:solidFill>
                          <a:srgbClr val="0A806E"/>
                        </a:solidFill>
                        <a:latin typeface="Century Gothic" panose="020B0502020202020204" pitchFamily="34" charset="0"/>
                      </a:rPr>
                      <a:pPr>
                        <a:defRPr b="1">
                          <a:solidFill>
                            <a:srgbClr val="ABDFD4"/>
                          </a:solidFill>
                          <a:latin typeface="Century Gothic" panose="020B0502020202020204" pitchFamily="34" charset="0"/>
                        </a:defRPr>
                      </a:pPr>
                      <a:t>[VALUE]</a:t>
                    </a:fld>
                    <a:endParaRPr lang="en-US"/>
                  </a:p>
                </c:rich>
              </c:tx>
              <c:spPr>
                <a:solidFill>
                  <a:srgbClr val="ABDFD4"/>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ABDFD4"/>
                      </a:solidFill>
                      <a:latin typeface="Century Gothic" panose="020B0502020202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8540681270144186"/>
                      <c:h val="0.18667973000863072"/>
                    </c:manualLayout>
                  </c15:layout>
                  <c15:dlblFieldTable/>
                  <c15:showDataLabelsRange val="0"/>
                </c:ext>
                <c:ext xmlns:c16="http://schemas.microsoft.com/office/drawing/2014/chart" uri="{C3380CC4-5D6E-409C-BE32-E72D297353CC}">
                  <c16:uniqueId val="{00000000-EE46-431C-8D73-1165AC836E9A}"/>
                </c:ext>
              </c:extLst>
            </c:dLbl>
            <c:spPr>
              <a:solidFill>
                <a:srgbClr val="3BA18C"/>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ABDFD4"/>
                    </a:solidFill>
                    <a:latin typeface="Century Gothic" panose="020B050202020202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'Results at a Glance'!$V$29</c:f>
              <c:numCache>
                <c:formatCode>0.0%</c:formatCode>
                <c:ptCount val="1"/>
                <c:pt idx="0">
                  <c:v>0</c:v>
                </c:pt>
              </c:numCache>
            </c:numRef>
          </c:val>
          <c:extLst>
            <c:ext xmlns:c16="http://schemas.microsoft.com/office/drawing/2014/chart" uri="{C3380CC4-5D6E-409C-BE32-E72D297353CC}">
              <c16:uniqueId val="{00000001-EE46-431C-8D73-1165AC836E9A}"/>
            </c:ext>
          </c:extLst>
        </c:ser>
        <c:ser>
          <c:idx val="1"/>
          <c:order val="1"/>
          <c:tx>
            <c:strRef>
              <c:f>'Results at a Glance'!$T$30</c:f>
              <c:strCache>
                <c:ptCount val="1"/>
                <c:pt idx="0">
                  <c:v>Total</c:v>
                </c:pt>
              </c:strCache>
            </c:strRef>
          </c:tx>
          <c:spPr>
            <a:solidFill>
              <a:schemeClr val="accent2"/>
            </a:solidFill>
            <a:ln>
              <a:noFill/>
            </a:ln>
            <a:effectLst/>
          </c:spPr>
          <c:invertIfNegative val="0"/>
          <c:dPt>
            <c:idx val="0"/>
            <c:invertIfNegative val="0"/>
            <c:bubble3D val="0"/>
            <c:spPr>
              <a:noFill/>
              <a:ln w="6350">
                <a:solidFill>
                  <a:srgbClr val="ABDFD4"/>
                </a:solidFill>
              </a:ln>
              <a:effectLst/>
            </c:spPr>
            <c:extLst>
              <c:ext xmlns:c16="http://schemas.microsoft.com/office/drawing/2014/chart" uri="{C3380CC4-5D6E-409C-BE32-E72D297353CC}">
                <c16:uniqueId val="{00000003-EE46-431C-8D73-1165AC836E9A}"/>
              </c:ext>
            </c:extLst>
          </c:dPt>
          <c:val>
            <c:numRef>
              <c:f>'Results at a Glance'!$V$30</c:f>
              <c:numCache>
                <c:formatCode>0.0%</c:formatCode>
                <c:ptCount val="1"/>
                <c:pt idx="0">
                  <c:v>0</c:v>
                </c:pt>
              </c:numCache>
            </c:numRef>
          </c:val>
          <c:extLst>
            <c:ext xmlns:c16="http://schemas.microsoft.com/office/drawing/2014/chart" uri="{C3380CC4-5D6E-409C-BE32-E72D297353CC}">
              <c16:uniqueId val="{00000004-EE46-431C-8D73-1165AC836E9A}"/>
            </c:ext>
          </c:extLst>
        </c:ser>
        <c:dLbls>
          <c:showLegendKey val="0"/>
          <c:showVal val="0"/>
          <c:showCatName val="0"/>
          <c:showSerName val="0"/>
          <c:showPercent val="0"/>
          <c:showBubbleSize val="0"/>
        </c:dLbls>
        <c:gapWidth val="150"/>
        <c:overlap val="100"/>
        <c:axId val="1463808847"/>
        <c:axId val="1463807407"/>
      </c:barChart>
      <c:catAx>
        <c:axId val="1463808847"/>
        <c:scaling>
          <c:orientation val="minMax"/>
        </c:scaling>
        <c:delete val="1"/>
        <c:axPos val="b"/>
        <c:numFmt formatCode="General" sourceLinked="1"/>
        <c:majorTickMark val="none"/>
        <c:minorTickMark val="none"/>
        <c:tickLblPos val="nextTo"/>
        <c:crossAx val="1463807407"/>
        <c:crosses val="autoZero"/>
        <c:auto val="1"/>
        <c:lblAlgn val="ctr"/>
        <c:lblOffset val="100"/>
        <c:noMultiLvlLbl val="0"/>
      </c:catAx>
      <c:valAx>
        <c:axId val="1463807407"/>
        <c:scaling>
          <c:orientation val="minMax"/>
        </c:scaling>
        <c:delete val="1"/>
        <c:axPos val="l"/>
        <c:numFmt formatCode="0.0%" sourceLinked="1"/>
        <c:majorTickMark val="none"/>
        <c:minorTickMark val="none"/>
        <c:tickLblPos val="nextTo"/>
        <c:crossAx val="14638088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324814998239629E-3"/>
          <c:y val="2.8194444444444459E-2"/>
          <c:w val="0.99586751850017607"/>
          <c:h val="0.92087962962962966"/>
        </c:manualLayout>
      </c:layout>
      <c:barChart>
        <c:barDir val="col"/>
        <c:grouping val="stacked"/>
        <c:varyColors val="0"/>
        <c:ser>
          <c:idx val="0"/>
          <c:order val="0"/>
          <c:spPr>
            <a:solidFill>
              <a:srgbClr val="3BA18C"/>
            </a:solidFill>
            <a:ln>
              <a:noFill/>
            </a:ln>
            <a:effectLst/>
          </c:spPr>
          <c:invertIfNegative val="0"/>
          <c:dLbls>
            <c:spPr>
              <a:noFill/>
              <a:ln>
                <a:noFill/>
              </a:ln>
              <a:effectLst/>
            </c:spPr>
            <c:txPr>
              <a:bodyPr rot="0" spcFirstLastPara="1" vertOverflow="ellipsis" horzOverflow="clip" vert="horz" wrap="square" lIns="0" tIns="0" rIns="0" bIns="0" anchor="ctr" anchorCtr="0">
                <a:spAutoFit/>
              </a:bodyPr>
              <a:lstStyle/>
              <a:p>
                <a:pPr>
                  <a:defRPr sz="900" b="1" i="0" u="none" strike="noStrike" kern="1200" baseline="0">
                    <a:solidFill>
                      <a:srgbClr val="E6FEF6"/>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numRef>
              <c:f>'Results at a Glance'!$T$18:$T$19</c:f>
              <c:numCache>
                <c:formatCode>General</c:formatCode>
                <c:ptCount val="2"/>
                <c:pt idx="0">
                  <c:v>2024</c:v>
                </c:pt>
                <c:pt idx="1">
                  <c:v>2025</c:v>
                </c:pt>
              </c:numCache>
            </c:numRef>
          </c:cat>
          <c:val>
            <c:numRef>
              <c:f>'Results at a Glance'!$U$18:$U$19</c:f>
              <c:numCache>
                <c:formatCode>#,##0.00</c:formatCode>
                <c:ptCount val="2"/>
                <c:pt idx="0">
                  <c:v>0</c:v>
                </c:pt>
                <c:pt idx="1">
                  <c:v>0</c:v>
                </c:pt>
              </c:numCache>
            </c:numRef>
          </c:val>
          <c:extLst>
            <c:ext xmlns:c16="http://schemas.microsoft.com/office/drawing/2014/chart" uri="{C3380CC4-5D6E-409C-BE32-E72D297353CC}">
              <c16:uniqueId val="{00000000-5A9E-457D-A574-C4BFA0B0C20F}"/>
            </c:ext>
          </c:extLst>
        </c:ser>
        <c:dLbls>
          <c:showLegendKey val="0"/>
          <c:showVal val="0"/>
          <c:showCatName val="0"/>
          <c:showSerName val="0"/>
          <c:showPercent val="0"/>
          <c:showBubbleSize val="0"/>
        </c:dLbls>
        <c:gapWidth val="150"/>
        <c:overlap val="100"/>
        <c:axId val="1463808847"/>
        <c:axId val="1463807407"/>
      </c:barChart>
      <c:catAx>
        <c:axId val="14638088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95D7C9"/>
                </a:solidFill>
                <a:latin typeface="Century Gothic" panose="020B0502020202020204" pitchFamily="34" charset="0"/>
                <a:ea typeface="+mn-ea"/>
                <a:cs typeface="+mn-cs"/>
              </a:defRPr>
            </a:pPr>
            <a:endParaRPr lang="en-US"/>
          </a:p>
        </c:txPr>
        <c:crossAx val="1463807407"/>
        <c:crosses val="autoZero"/>
        <c:auto val="1"/>
        <c:lblAlgn val="ctr"/>
        <c:lblOffset val="100"/>
        <c:noMultiLvlLbl val="0"/>
      </c:catAx>
      <c:valAx>
        <c:axId val="1463807407"/>
        <c:scaling>
          <c:orientation val="minMax"/>
        </c:scaling>
        <c:delete val="1"/>
        <c:axPos val="l"/>
        <c:numFmt formatCode="#,##0.00" sourceLinked="1"/>
        <c:majorTickMark val="none"/>
        <c:minorTickMark val="none"/>
        <c:tickLblPos val="nextTo"/>
        <c:crossAx val="14638088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4.1324814998239629E-3"/>
          <c:y val="0.14650956056742165"/>
          <c:w val="0.99586751850017607"/>
          <c:h val="0.68969747547280646"/>
        </c:manualLayout>
      </c:layout>
      <c:barChart>
        <c:barDir val="col"/>
        <c:grouping val="clustered"/>
        <c:varyColors val="0"/>
        <c:ser>
          <c:idx val="0"/>
          <c:order val="0"/>
          <c:tx>
            <c:strRef>
              <c:f>'Results at a Glance'!$T$23</c:f>
              <c:strCache>
                <c:ptCount val="1"/>
                <c:pt idx="0">
                  <c:v>per m2</c:v>
                </c:pt>
              </c:strCache>
            </c:strRef>
          </c:tx>
          <c:spPr>
            <a:solidFill>
              <a:srgbClr val="3BA18C"/>
            </a:solidFill>
          </c:spPr>
          <c:invertIfNegative val="0"/>
          <c:dPt>
            <c:idx val="0"/>
            <c:invertIfNegative val="0"/>
            <c:bubble3D val="0"/>
            <c:spPr>
              <a:solidFill>
                <a:srgbClr val="ABDFD4"/>
              </a:solidFill>
            </c:spPr>
            <c:extLst>
              <c:ext xmlns:c16="http://schemas.microsoft.com/office/drawing/2014/chart" uri="{C3380CC4-5D6E-409C-BE32-E72D297353CC}">
                <c16:uniqueId val="{00000001-2F90-400D-90CA-73E6872F0807}"/>
              </c:ext>
            </c:extLst>
          </c:dPt>
          <c:dLbls>
            <c:dLbl>
              <c:idx val="0"/>
              <c:dLblPos val="inEnd"/>
              <c:showLegendKey val="0"/>
              <c:showVal val="1"/>
              <c:showCatName val="0"/>
              <c:showSerName val="0"/>
              <c:showPercent val="0"/>
              <c:showBubbleSize val="0"/>
              <c:extLst>
                <c:ext xmlns:c15="http://schemas.microsoft.com/office/drawing/2012/chart" uri="{CE6537A1-D6FC-4f65-9D91-7224C49458BB}">
                  <c15:layout>
                    <c:manualLayout>
                      <c:w val="0.41080758596544575"/>
                      <c:h val="5.373119322829327E-2"/>
                    </c:manualLayout>
                  </c15:layout>
                </c:ext>
                <c:ext xmlns:c16="http://schemas.microsoft.com/office/drawing/2014/chart" uri="{C3380CC4-5D6E-409C-BE32-E72D297353CC}">
                  <c16:uniqueId val="{00000001-2F90-400D-90CA-73E6872F0807}"/>
                </c:ext>
              </c:extLst>
            </c:dLbl>
            <c:dLbl>
              <c:idx val="1"/>
              <c:dLblPos val="inEnd"/>
              <c:showLegendKey val="0"/>
              <c:showVal val="1"/>
              <c:showCatName val="0"/>
              <c:showSerName val="0"/>
              <c:showPercent val="0"/>
              <c:showBubbleSize val="0"/>
              <c:extLst>
                <c:ext xmlns:c15="http://schemas.microsoft.com/office/drawing/2012/chart" uri="{CE6537A1-D6FC-4f65-9D91-7224C49458BB}">
                  <c15:layout>
                    <c:manualLayout>
                      <c:w val="0.38795226226176877"/>
                      <c:h val="5.373119322829327E-2"/>
                    </c:manualLayout>
                  </c15:layout>
                </c:ext>
                <c:ext xmlns:c16="http://schemas.microsoft.com/office/drawing/2014/chart" uri="{C3380CC4-5D6E-409C-BE32-E72D297353CC}">
                  <c16:uniqueId val="{00000002-2F90-400D-90CA-73E6872F0807}"/>
                </c:ext>
              </c:extLst>
            </c:dLbl>
            <c:spPr>
              <a:noFill/>
              <a:ln>
                <a:noFill/>
              </a:ln>
              <a:effectLst/>
            </c:spPr>
            <c:txPr>
              <a:bodyPr wrap="square" lIns="0" tIns="0" rIns="0" bIns="0" anchor="ctr">
                <a:spAutoFit/>
              </a:bodyPr>
              <a:lstStyle/>
              <a:p>
                <a:pPr>
                  <a:defRPr sz="700">
                    <a:solidFill>
                      <a:srgbClr val="E6FEF6"/>
                    </a:solidFill>
                    <a:latin typeface="Century Gothic" panose="020B0502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cat>
            <c:numRef>
              <c:f>'Results at a Glance'!$U$22:$V$22</c:f>
              <c:numCache>
                <c:formatCode>General</c:formatCode>
                <c:ptCount val="2"/>
                <c:pt idx="0">
                  <c:v>2024</c:v>
                </c:pt>
                <c:pt idx="1">
                  <c:v>2025</c:v>
                </c:pt>
              </c:numCache>
            </c:numRef>
          </c:cat>
          <c:val>
            <c:numRef>
              <c:f>'Results at a Glance'!$U$23:$V$23</c:f>
              <c:numCache>
                <c:formatCode>#,##0.00</c:formatCode>
                <c:ptCount val="2"/>
                <c:pt idx="0">
                  <c:v>0</c:v>
                </c:pt>
                <c:pt idx="1">
                  <c:v>0</c:v>
                </c:pt>
              </c:numCache>
            </c:numRef>
          </c:val>
          <c:extLst>
            <c:ext xmlns:c16="http://schemas.microsoft.com/office/drawing/2014/chart" uri="{C3380CC4-5D6E-409C-BE32-E72D297353CC}">
              <c16:uniqueId val="{00000003-2F90-400D-90CA-73E6872F0807}"/>
            </c:ext>
          </c:extLst>
        </c:ser>
        <c:dLbls>
          <c:showLegendKey val="0"/>
          <c:showVal val="0"/>
          <c:showCatName val="0"/>
          <c:showSerName val="0"/>
          <c:showPercent val="0"/>
          <c:showBubbleSize val="0"/>
        </c:dLbls>
        <c:gapWidth val="5"/>
        <c:axId val="1463808847"/>
        <c:axId val="1463807407"/>
      </c:barChart>
      <c:catAx>
        <c:axId val="14638088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rgbClr val="95D7C9"/>
                </a:solidFill>
                <a:latin typeface="Century Gothic" panose="020B0502020202020204" pitchFamily="34" charset="0"/>
                <a:ea typeface="+mn-ea"/>
                <a:cs typeface="+mn-cs"/>
              </a:defRPr>
            </a:pPr>
            <a:endParaRPr lang="en-US"/>
          </a:p>
        </c:txPr>
        <c:crossAx val="1463807407"/>
        <c:crosses val="autoZero"/>
        <c:auto val="1"/>
        <c:lblAlgn val="ctr"/>
        <c:lblOffset val="100"/>
        <c:noMultiLvlLbl val="0"/>
      </c:catAx>
      <c:valAx>
        <c:axId val="1463807407"/>
        <c:scaling>
          <c:orientation val="minMax"/>
        </c:scaling>
        <c:delete val="1"/>
        <c:axPos val="l"/>
        <c:numFmt formatCode="#,##0.00" sourceLinked="1"/>
        <c:majorTickMark val="none"/>
        <c:minorTickMark val="none"/>
        <c:tickLblPos val="nextTo"/>
        <c:crossAx val="14638088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4.1324814998239629E-3"/>
          <c:y val="0.14650956056742165"/>
          <c:w val="0.99586751850017607"/>
          <c:h val="0.68969747547280646"/>
        </c:manualLayout>
      </c:layout>
      <c:barChart>
        <c:barDir val="col"/>
        <c:grouping val="clustered"/>
        <c:varyColors val="0"/>
        <c:ser>
          <c:idx val="0"/>
          <c:order val="0"/>
          <c:tx>
            <c:strRef>
              <c:f>'Results at a Glance'!$T$24</c:f>
              <c:strCache>
                <c:ptCount val="1"/>
                <c:pt idx="0">
                  <c:v>per Employee</c:v>
                </c:pt>
              </c:strCache>
            </c:strRef>
          </c:tx>
          <c:invertIfNegative val="0"/>
          <c:dPt>
            <c:idx val="0"/>
            <c:invertIfNegative val="0"/>
            <c:bubble3D val="0"/>
            <c:spPr>
              <a:solidFill>
                <a:srgbClr val="ABDFD4"/>
              </a:solidFill>
            </c:spPr>
            <c:extLst>
              <c:ext xmlns:c16="http://schemas.microsoft.com/office/drawing/2014/chart" uri="{C3380CC4-5D6E-409C-BE32-E72D297353CC}">
                <c16:uniqueId val="{00000001-9082-4A9E-A85B-855CD098DD52}"/>
              </c:ext>
            </c:extLst>
          </c:dPt>
          <c:dPt>
            <c:idx val="1"/>
            <c:invertIfNegative val="0"/>
            <c:bubble3D val="0"/>
            <c:spPr>
              <a:solidFill>
                <a:srgbClr val="3BA18C"/>
              </a:solidFill>
            </c:spPr>
            <c:extLst>
              <c:ext xmlns:c16="http://schemas.microsoft.com/office/drawing/2014/chart" uri="{C3380CC4-5D6E-409C-BE32-E72D297353CC}">
                <c16:uniqueId val="{00000003-9082-4A9E-A85B-855CD098DD52}"/>
              </c:ext>
            </c:extLst>
          </c:dPt>
          <c:dLbls>
            <c:dLbl>
              <c:idx val="0"/>
              <c:dLblPos val="inEnd"/>
              <c:showLegendKey val="0"/>
              <c:showVal val="1"/>
              <c:showCatName val="0"/>
              <c:showSerName val="0"/>
              <c:showPercent val="0"/>
              <c:showBubbleSize val="0"/>
              <c:extLst>
                <c:ext xmlns:c15="http://schemas.microsoft.com/office/drawing/2012/chart" uri="{CE6537A1-D6FC-4f65-9D91-7224C49458BB}">
                  <c15:layout>
                    <c:manualLayout>
                      <c:w val="0.4057827462454352"/>
                      <c:h val="0.1261225199196665"/>
                    </c:manualLayout>
                  </c15:layout>
                </c:ext>
                <c:ext xmlns:c16="http://schemas.microsoft.com/office/drawing/2014/chart" uri="{C3380CC4-5D6E-409C-BE32-E72D297353CC}">
                  <c16:uniqueId val="{00000001-9082-4A9E-A85B-855CD098DD52}"/>
                </c:ext>
              </c:extLst>
            </c:dLbl>
            <c:dLbl>
              <c:idx val="1"/>
              <c:dLblPos val="inEnd"/>
              <c:showLegendKey val="0"/>
              <c:showVal val="1"/>
              <c:showCatName val="0"/>
              <c:showSerName val="0"/>
              <c:showPercent val="0"/>
              <c:showBubbleSize val="0"/>
              <c:extLst>
                <c:ext xmlns:c15="http://schemas.microsoft.com/office/drawing/2012/chart" uri="{CE6537A1-D6FC-4f65-9D91-7224C49458BB}">
                  <c15:layout>
                    <c:manualLayout>
                      <c:w val="0.37853981011830995"/>
                      <c:h val="0.1261225199196665"/>
                    </c:manualLayout>
                  </c15:layout>
                </c:ext>
                <c:ext xmlns:c16="http://schemas.microsoft.com/office/drawing/2014/chart" uri="{C3380CC4-5D6E-409C-BE32-E72D297353CC}">
                  <c16:uniqueId val="{00000003-9082-4A9E-A85B-855CD098DD52}"/>
                </c:ext>
              </c:extLst>
            </c:dLbl>
            <c:spPr>
              <a:noFill/>
              <a:ln>
                <a:noFill/>
              </a:ln>
              <a:effectLst/>
            </c:spPr>
            <c:txPr>
              <a:bodyPr wrap="square" lIns="38100" tIns="19050" rIns="38100" bIns="19050" anchor="ctr">
                <a:spAutoFit/>
              </a:bodyPr>
              <a:lstStyle/>
              <a:p>
                <a:pPr>
                  <a:defRPr sz="700">
                    <a:solidFill>
                      <a:srgbClr val="E6FEF6"/>
                    </a:solidFill>
                    <a:latin typeface="Century Gothic" panose="020B0502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'Results at a Glance'!$U$22:$V$22</c:f>
              <c:numCache>
                <c:formatCode>General</c:formatCode>
                <c:ptCount val="2"/>
                <c:pt idx="0">
                  <c:v>2024</c:v>
                </c:pt>
                <c:pt idx="1">
                  <c:v>2025</c:v>
                </c:pt>
              </c:numCache>
            </c:numRef>
          </c:cat>
          <c:val>
            <c:numRef>
              <c:f>'Results at a Glance'!$U$24:$V$24</c:f>
              <c:numCache>
                <c:formatCode>#,##0.00</c:formatCode>
                <c:ptCount val="2"/>
                <c:pt idx="0">
                  <c:v>0</c:v>
                </c:pt>
                <c:pt idx="1">
                  <c:v>0</c:v>
                </c:pt>
              </c:numCache>
            </c:numRef>
          </c:val>
          <c:extLst>
            <c:ext xmlns:c16="http://schemas.microsoft.com/office/drawing/2014/chart" uri="{C3380CC4-5D6E-409C-BE32-E72D297353CC}">
              <c16:uniqueId val="{00000004-9082-4A9E-A85B-855CD098DD52}"/>
            </c:ext>
          </c:extLst>
        </c:ser>
        <c:dLbls>
          <c:showLegendKey val="0"/>
          <c:showVal val="0"/>
          <c:showCatName val="0"/>
          <c:showSerName val="0"/>
          <c:showPercent val="0"/>
          <c:showBubbleSize val="0"/>
        </c:dLbls>
        <c:gapWidth val="5"/>
        <c:axId val="1463808847"/>
        <c:axId val="1463807407"/>
      </c:barChart>
      <c:catAx>
        <c:axId val="14638088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rgbClr val="95D7C9"/>
                </a:solidFill>
                <a:latin typeface="Century Gothic" panose="020B0502020202020204" pitchFamily="34" charset="0"/>
                <a:ea typeface="+mn-ea"/>
                <a:cs typeface="+mn-cs"/>
              </a:defRPr>
            </a:pPr>
            <a:endParaRPr lang="en-US"/>
          </a:p>
        </c:txPr>
        <c:crossAx val="1463807407"/>
        <c:crosses val="autoZero"/>
        <c:auto val="1"/>
        <c:lblAlgn val="ctr"/>
        <c:lblOffset val="100"/>
        <c:noMultiLvlLbl val="0"/>
      </c:catAx>
      <c:valAx>
        <c:axId val="1463807407"/>
        <c:scaling>
          <c:orientation val="minMax"/>
        </c:scaling>
        <c:delete val="1"/>
        <c:axPos val="l"/>
        <c:numFmt formatCode="#,##0.00" sourceLinked="1"/>
        <c:majorTickMark val="none"/>
        <c:minorTickMark val="none"/>
        <c:tickLblPos val="nextTo"/>
        <c:crossAx val="14638088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4.1324814998239629E-3"/>
          <c:y val="0.14650956056742165"/>
          <c:w val="0.99586751850017607"/>
          <c:h val="0.68969747547280646"/>
        </c:manualLayout>
      </c:layout>
      <c:barChart>
        <c:barDir val="col"/>
        <c:grouping val="clustered"/>
        <c:varyColors val="0"/>
        <c:ser>
          <c:idx val="0"/>
          <c:order val="0"/>
          <c:tx>
            <c:strRef>
              <c:f>'Results at a Glance'!$W$23</c:f>
              <c:strCache>
                <c:ptCount val="1"/>
              </c:strCache>
            </c:strRef>
          </c:tx>
          <c:invertIfNegative val="0"/>
          <c:dPt>
            <c:idx val="0"/>
            <c:invertIfNegative val="0"/>
            <c:bubble3D val="0"/>
            <c:spPr>
              <a:solidFill>
                <a:srgbClr val="ABDFD4"/>
              </a:solidFill>
            </c:spPr>
            <c:extLst>
              <c:ext xmlns:c16="http://schemas.microsoft.com/office/drawing/2014/chart" uri="{C3380CC4-5D6E-409C-BE32-E72D297353CC}">
                <c16:uniqueId val="{00000001-0A8A-48C9-B728-EE9F592FBB99}"/>
              </c:ext>
            </c:extLst>
          </c:dPt>
          <c:dPt>
            <c:idx val="1"/>
            <c:invertIfNegative val="0"/>
            <c:bubble3D val="0"/>
            <c:spPr>
              <a:solidFill>
                <a:srgbClr val="3BA18C"/>
              </a:solidFill>
            </c:spPr>
            <c:extLst>
              <c:ext xmlns:c16="http://schemas.microsoft.com/office/drawing/2014/chart" uri="{C3380CC4-5D6E-409C-BE32-E72D297353CC}">
                <c16:uniqueId val="{00000003-0A8A-48C9-B728-EE9F592FBB99}"/>
              </c:ext>
            </c:extLst>
          </c:dPt>
          <c:dLbls>
            <c:dLbl>
              <c:idx val="0"/>
              <c:dLblPos val="inEnd"/>
              <c:showLegendKey val="0"/>
              <c:showVal val="1"/>
              <c:showCatName val="0"/>
              <c:showSerName val="0"/>
              <c:showPercent val="0"/>
              <c:showBubbleSize val="0"/>
              <c:extLst>
                <c:ext xmlns:c15="http://schemas.microsoft.com/office/drawing/2012/chart" uri="{CE6537A1-D6FC-4f65-9D91-7224C49458BB}">
                  <c15:layout>
                    <c:manualLayout>
                      <c:w val="0.44569261264608684"/>
                      <c:h val="0.12603806151759944"/>
                    </c:manualLayout>
                  </c15:layout>
                </c:ext>
                <c:ext xmlns:c16="http://schemas.microsoft.com/office/drawing/2014/chart" uri="{C3380CC4-5D6E-409C-BE32-E72D297353CC}">
                  <c16:uniqueId val="{00000001-0A8A-48C9-B728-EE9F592FBB99}"/>
                </c:ext>
              </c:extLst>
            </c:dLbl>
            <c:dLbl>
              <c:idx val="1"/>
              <c:dLblPos val="inEnd"/>
              <c:showLegendKey val="0"/>
              <c:showVal val="1"/>
              <c:showCatName val="0"/>
              <c:showSerName val="0"/>
              <c:showPercent val="0"/>
              <c:showBubbleSize val="0"/>
              <c:extLst>
                <c:ext xmlns:c15="http://schemas.microsoft.com/office/drawing/2012/chart" uri="{CE6537A1-D6FC-4f65-9D91-7224C49458BB}">
                  <c15:layout>
                    <c:manualLayout>
                      <c:w val="0.37848911994432838"/>
                      <c:h val="7.2392459336132656E-2"/>
                    </c:manualLayout>
                  </c15:layout>
                </c:ext>
                <c:ext xmlns:c16="http://schemas.microsoft.com/office/drawing/2014/chart" uri="{C3380CC4-5D6E-409C-BE32-E72D297353CC}">
                  <c16:uniqueId val="{00000003-0A8A-48C9-B728-EE9F592FBB99}"/>
                </c:ext>
              </c:extLst>
            </c:dLbl>
            <c:spPr>
              <a:noFill/>
              <a:ln>
                <a:noFill/>
              </a:ln>
              <a:effectLst/>
            </c:spPr>
            <c:txPr>
              <a:bodyPr wrap="square" lIns="38100" tIns="19050" rIns="38100" bIns="19050" anchor="ctr">
                <a:spAutoFit/>
              </a:bodyPr>
              <a:lstStyle/>
              <a:p>
                <a:pPr>
                  <a:defRPr sz="700">
                    <a:solidFill>
                      <a:srgbClr val="E6FEF6"/>
                    </a:solidFill>
                    <a:latin typeface="Century Gothic" panose="020B0502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'Results at a Glance'!$X$22:$Y$22</c:f>
            </c:numRef>
          </c:cat>
          <c:val>
            <c:numRef>
              <c:f>'Results at a Glance'!$X$23:$Y$23</c:f>
              <c:numCache>
                <c:formatCode>#,##0.00</c:formatCode>
                <c:ptCount val="2"/>
                <c:pt idx="0">
                  <c:v>0</c:v>
                </c:pt>
                <c:pt idx="1">
                  <c:v>0</c:v>
                </c:pt>
              </c:numCache>
            </c:numRef>
          </c:val>
          <c:extLst>
            <c:ext xmlns:c16="http://schemas.microsoft.com/office/drawing/2014/chart" uri="{C3380CC4-5D6E-409C-BE32-E72D297353CC}">
              <c16:uniqueId val="{00000004-0A8A-48C9-B728-EE9F592FBB99}"/>
            </c:ext>
          </c:extLst>
        </c:ser>
        <c:dLbls>
          <c:showLegendKey val="0"/>
          <c:showVal val="0"/>
          <c:showCatName val="0"/>
          <c:showSerName val="0"/>
          <c:showPercent val="0"/>
          <c:showBubbleSize val="0"/>
        </c:dLbls>
        <c:gapWidth val="5"/>
        <c:axId val="1463808847"/>
        <c:axId val="1463807407"/>
      </c:barChart>
      <c:catAx>
        <c:axId val="14638088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rgbClr val="95D7C9"/>
                </a:solidFill>
                <a:latin typeface="Century Gothic" panose="020B0502020202020204" pitchFamily="34" charset="0"/>
                <a:ea typeface="+mn-ea"/>
                <a:cs typeface="+mn-cs"/>
              </a:defRPr>
            </a:pPr>
            <a:endParaRPr lang="en-US"/>
          </a:p>
        </c:txPr>
        <c:crossAx val="1463807407"/>
        <c:crosses val="autoZero"/>
        <c:auto val="1"/>
        <c:lblAlgn val="ctr"/>
        <c:lblOffset val="100"/>
        <c:noMultiLvlLbl val="0"/>
      </c:catAx>
      <c:valAx>
        <c:axId val="1463807407"/>
        <c:scaling>
          <c:orientation val="minMax"/>
        </c:scaling>
        <c:delete val="1"/>
        <c:axPos val="l"/>
        <c:numFmt formatCode="#,##0.00" sourceLinked="1"/>
        <c:majorTickMark val="none"/>
        <c:minorTickMark val="none"/>
        <c:tickLblPos val="nextTo"/>
        <c:crossAx val="14638088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_xlchart.v1.2</cx:f>
      </cx:numDim>
    </cx:data>
  </cx:chartData>
  <cx:chart>
    <cx:title pos="t" align="ctr" overlay="0">
      <cx:tx>
        <cx:rich>
          <a:bodyPr spcFirstLastPara="1" vertOverflow="ellipsis" horzOverflow="overflow" wrap="square" lIns="0" tIns="0" rIns="0" bIns="0" anchor="ctr" anchorCtr="1"/>
          <a:lstStyle/>
          <a:p>
            <a:pPr algn="ctr" rtl="0">
              <a:defRPr/>
            </a:pPr>
            <a:r>
              <a:rPr lang="en-CA" sz="800" b="0" i="0" u="none" strike="noStrike" kern="1200" spc="0" baseline="0">
                <a:solidFill>
                  <a:sysClr val="windowText" lastClr="000000">
                    <a:lumMod val="65000"/>
                    <a:lumOff val="35000"/>
                  </a:sysClr>
                </a:solidFill>
                <a:effectLst/>
                <a:latin typeface="Aptos Narrow" panose="02110004020202020204"/>
                <a:ea typeface="Calibri" panose="020F0502020204030204" pitchFamily="34" charset="0"/>
                <a:cs typeface="Calibri" panose="020F0502020204030204" pitchFamily="34" charset="0"/>
              </a:rPr>
              <a:t>tonnes CO₂</a:t>
            </a:r>
            <a:r>
              <a:rPr lang="en-CA" sz="800" b="0"/>
              <a:t> </a:t>
            </a:r>
            <a:endParaRPr lang="en-US" sz="800" b="0" i="0" u="none" strike="noStrike" kern="1200" spc="0" baseline="0">
              <a:solidFill>
                <a:sysClr val="windowText" lastClr="000000">
                  <a:lumMod val="65000"/>
                  <a:lumOff val="35000"/>
                </a:sysClr>
              </a:solidFill>
              <a:latin typeface="Aptos Narrow" panose="02110004020202020204"/>
            </a:endParaRPr>
          </a:p>
        </cx:rich>
      </cx:tx>
    </cx:title>
    <cx:plotArea>
      <cx:plotAreaRegion>
        <cx:series layoutId="treemap" uniqueId="{C57EA628-87FA-4559-839D-1038728FA2CC}">
          <cx:tx>
            <cx:txData>
              <cx:f>_xlchart.v1.1</cx:f>
              <cx:v/>
            </cx:txData>
          </cx:tx>
          <cx:dataLabels>
            <cx:numFmt formatCode="0.0%" sourceLinked="0"/>
            <cx:txPr>
              <a:bodyPr spcFirstLastPara="1" vertOverflow="ellipsis" horzOverflow="overflow" wrap="square" lIns="0" tIns="0" rIns="0" bIns="0" anchor="ctr" anchorCtr="1"/>
              <a:lstStyle/>
              <a:p>
                <a:pPr algn="ctr" rtl="0">
                  <a:defRPr sz="700">
                    <a:latin typeface="Calibri" panose="020F0502020204030204" pitchFamily="34" charset="0"/>
                    <a:ea typeface="Calibri" panose="020F0502020204030204" pitchFamily="34" charset="0"/>
                    <a:cs typeface="Calibri" panose="020F0502020204030204" pitchFamily="34" charset="0"/>
                  </a:defRPr>
                </a:pPr>
                <a:endParaRPr lang="en-US" sz="700" b="0" i="0" u="none" strike="noStrike" kern="1200" baseline="0">
                  <a:solidFill>
                    <a:sysClr val="windowText" lastClr="000000">
                      <a:lumMod val="75000"/>
                      <a:lumOff val="25000"/>
                    </a:sysClr>
                  </a:solidFill>
                  <a:latin typeface="Calibri" panose="020F0502020204030204" pitchFamily="34" charset="0"/>
                  <a:ea typeface="Calibri" panose="020F0502020204030204" pitchFamily="34" charset="0"/>
                  <a:cs typeface="Calibri" panose="020F0502020204030204" pitchFamily="34" charset="0"/>
                </a:endParaRPr>
              </a:p>
            </cx:txPr>
            <cx:visibility seriesName="0" categoryName="0" value="1"/>
            <cx:separator>, </cx:separator>
          </cx:dataLabels>
          <cx:dataId val="0"/>
          <cx:layoutPr/>
        </cx:series>
      </cx:plotAreaRegion>
    </cx:plotArea>
    <cx:legend pos="r" align="ctr" overlay="0">
      <cx:txPr>
        <a:bodyPr spcFirstLastPara="1" vertOverflow="ellipsis" horzOverflow="overflow" wrap="square" lIns="0" tIns="0" rIns="0" bIns="0" anchor="ctr" anchorCtr="1"/>
        <a:lstStyle/>
        <a:p>
          <a:pPr algn="ctr" rtl="0">
            <a:defRPr sz="800" kern="0" spc="-50" baseline="0">
              <a:latin typeface="Calibri" panose="020F0502020204030204" pitchFamily="34" charset="0"/>
              <a:ea typeface="Calibri" panose="020F0502020204030204" pitchFamily="34" charset="0"/>
              <a:cs typeface="Calibri" panose="020F0502020204030204" pitchFamily="34" charset="0"/>
            </a:defRPr>
          </a:pPr>
          <a:endParaRPr lang="en-US" sz="800" b="0" i="0" u="none" strike="noStrike" kern="0" spc="-50" baseline="0">
            <a:solidFill>
              <a:sysClr val="windowText" lastClr="000000">
                <a:lumMod val="65000"/>
                <a:lumOff val="35000"/>
              </a:sysClr>
            </a:solidFill>
            <a:latin typeface="Calibri" panose="020F0502020204030204" pitchFamily="34" charset="0"/>
            <a:ea typeface="Calibri" panose="020F0502020204030204" pitchFamily="34" charset="0"/>
            <a:cs typeface="Calibri" panose="020F0502020204030204" pitchFamily="34" charset="0"/>
          </a:endParaRPr>
        </a:p>
      </cx:txPr>
    </cx:legend>
  </cx:chart>
  <cx:spPr>
    <a:noFill/>
    <a:ln>
      <a:noFill/>
    </a:ln>
  </cx:spPr>
</cx: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Reversed" id="21">
  <a:schemeClr val="accent1"/>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9519</xdr:colOff>
      <xdr:row>0</xdr:row>
      <xdr:rowOff>13274</xdr:rowOff>
    </xdr:from>
    <xdr:to>
      <xdr:col>1</xdr:col>
      <xdr:colOff>1039906</xdr:colOff>
      <xdr:row>3</xdr:row>
      <xdr:rowOff>161364</xdr:rowOff>
    </xdr:to>
    <xdr:grpSp>
      <xdr:nvGrpSpPr>
        <xdr:cNvPr id="2" name="Group 1">
          <a:extLst>
            <a:ext uri="{FF2B5EF4-FFF2-40B4-BE49-F238E27FC236}">
              <a16:creationId xmlns:a16="http://schemas.microsoft.com/office/drawing/2014/main" id="{7E2C144E-FF33-4724-8F0F-015E2525DFD5}"/>
            </a:ext>
          </a:extLst>
        </xdr:cNvPr>
        <xdr:cNvGrpSpPr/>
      </xdr:nvGrpSpPr>
      <xdr:grpSpPr>
        <a:xfrm>
          <a:off x="72272" y="13274"/>
          <a:ext cx="1030387" cy="865266"/>
          <a:chOff x="66877" y="4764"/>
          <a:chExt cx="1025329" cy="851979"/>
        </a:xfrm>
      </xdr:grpSpPr>
      <xdr:sp macro="" textlink="">
        <xdr:nvSpPr>
          <xdr:cNvPr id="3" name="Right Triangle 2">
            <a:extLst>
              <a:ext uri="{FF2B5EF4-FFF2-40B4-BE49-F238E27FC236}">
                <a16:creationId xmlns:a16="http://schemas.microsoft.com/office/drawing/2014/main" id="{43B6F558-800A-4837-2274-AF05EF25C207}"/>
              </a:ext>
            </a:extLst>
          </xdr:cNvPr>
          <xdr:cNvSpPr>
            <a:spLocks/>
          </xdr:cNvSpPr>
        </xdr:nvSpPr>
        <xdr:spPr>
          <a:xfrm rot="5400000">
            <a:off x="153552" y="-81911"/>
            <a:ext cx="851979" cy="1025329"/>
          </a:xfrm>
          <a:prstGeom prst="rtTriangle">
            <a:avLst/>
          </a:prstGeom>
          <a:solidFill>
            <a:srgbClr val="FF898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000" b="1"/>
          </a:p>
        </xdr:txBody>
      </xdr:sp>
      <xdr:sp macro="" textlink="">
        <xdr:nvSpPr>
          <xdr:cNvPr id="4" name="TextBox 3">
            <a:extLst>
              <a:ext uri="{FF2B5EF4-FFF2-40B4-BE49-F238E27FC236}">
                <a16:creationId xmlns:a16="http://schemas.microsoft.com/office/drawing/2014/main" id="{83B5B120-F241-AFB8-9F8F-AE05AF52BCF9}"/>
              </a:ext>
            </a:extLst>
          </xdr:cNvPr>
          <xdr:cNvSpPr txBox="1"/>
        </xdr:nvSpPr>
        <xdr:spPr>
          <a:xfrm rot="18899990">
            <a:off x="94491" y="154999"/>
            <a:ext cx="613910" cy="357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CA" sz="1100" b="1" spc="-50" baseline="0">
                <a:solidFill>
                  <a:schemeClr val="bg1"/>
                </a:solidFill>
                <a:latin typeface="Calibri" panose="020F0502020204030204" pitchFamily="34" charset="0"/>
                <a:ea typeface="Calibri" panose="020F0502020204030204" pitchFamily="34" charset="0"/>
                <a:cs typeface="Calibri" panose="020F0502020204030204" pitchFamily="34" charset="0"/>
              </a:rPr>
              <a:t>Version 2025	</a:t>
            </a:r>
          </a:p>
        </xdr:txBody>
      </xdr:sp>
    </xdr:grpSp>
    <xdr:clientData/>
  </xdr:twoCellAnchor>
  <xdr:twoCellAnchor>
    <xdr:from>
      <xdr:col>4</xdr:col>
      <xdr:colOff>0</xdr:colOff>
      <xdr:row>19</xdr:row>
      <xdr:rowOff>0</xdr:rowOff>
    </xdr:from>
    <xdr:to>
      <xdr:col>9</xdr:col>
      <xdr:colOff>902804</xdr:colOff>
      <xdr:row>25</xdr:row>
      <xdr:rowOff>170331</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AFAEB870-7AFA-4E22-A08B-35821728E48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325906" y="3810000"/>
              <a:ext cx="5932004" cy="1299884"/>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8</xdr:col>
      <xdr:colOff>465043</xdr:colOff>
      <xdr:row>5</xdr:row>
      <xdr:rowOff>100853</xdr:rowOff>
    </xdr:from>
    <xdr:to>
      <xdr:col>12</xdr:col>
      <xdr:colOff>243730</xdr:colOff>
      <xdr:row>28</xdr:row>
      <xdr:rowOff>8965</xdr:rowOff>
    </xdr:to>
    <xdr:graphicFrame macro="">
      <xdr:nvGraphicFramePr>
        <xdr:cNvPr id="2" name="Chart 1">
          <a:extLst>
            <a:ext uri="{FF2B5EF4-FFF2-40B4-BE49-F238E27FC236}">
              <a16:creationId xmlns:a16="http://schemas.microsoft.com/office/drawing/2014/main" id="{86240ED0-DFDA-49D7-B0AE-9C92A6777D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523876</xdr:colOff>
      <xdr:row>36</xdr:row>
      <xdr:rowOff>0</xdr:rowOff>
    </xdr:from>
    <xdr:to>
      <xdr:col>16</xdr:col>
      <xdr:colOff>571500</xdr:colOff>
      <xdr:row>76</xdr:row>
      <xdr:rowOff>114300</xdr:rowOff>
    </xdr:to>
    <xdr:graphicFrame macro="">
      <xdr:nvGraphicFramePr>
        <xdr:cNvPr id="3" name="Chart 2">
          <a:extLst>
            <a:ext uri="{FF2B5EF4-FFF2-40B4-BE49-F238E27FC236}">
              <a16:creationId xmlns:a16="http://schemas.microsoft.com/office/drawing/2014/main" id="{29F67C7F-21A5-456D-ACE7-FD1CFF8C49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641536</xdr:colOff>
      <xdr:row>18</xdr:row>
      <xdr:rowOff>33617</xdr:rowOff>
    </xdr:from>
    <xdr:to>
      <xdr:col>4</xdr:col>
      <xdr:colOff>196103</xdr:colOff>
      <xdr:row>41</xdr:row>
      <xdr:rowOff>52106</xdr:rowOff>
    </xdr:to>
    <xdr:graphicFrame macro="">
      <xdr:nvGraphicFramePr>
        <xdr:cNvPr id="4" name="Chart 3">
          <a:extLst>
            <a:ext uri="{FF2B5EF4-FFF2-40B4-BE49-F238E27FC236}">
              <a16:creationId xmlns:a16="http://schemas.microsoft.com/office/drawing/2014/main" id="{7D885E3C-6351-4B6E-9C98-EA866D53DF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733147</xdr:colOff>
      <xdr:row>60</xdr:row>
      <xdr:rowOff>109538</xdr:rowOff>
    </xdr:from>
    <xdr:to>
      <xdr:col>2</xdr:col>
      <xdr:colOff>1343027</xdr:colOff>
      <xdr:row>76</xdr:row>
      <xdr:rowOff>28854</xdr:rowOff>
    </xdr:to>
    <xdr:graphicFrame macro="">
      <xdr:nvGraphicFramePr>
        <xdr:cNvPr id="5" name="Chart 4">
          <a:extLst>
            <a:ext uri="{FF2B5EF4-FFF2-40B4-BE49-F238E27FC236}">
              <a16:creationId xmlns:a16="http://schemas.microsoft.com/office/drawing/2014/main" id="{8DA54D0D-E569-4E0B-BBDE-BB45F51CA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918884</xdr:colOff>
      <xdr:row>43</xdr:row>
      <xdr:rowOff>61631</xdr:rowOff>
    </xdr:from>
    <xdr:to>
      <xdr:col>4</xdr:col>
      <xdr:colOff>263338</xdr:colOff>
      <xdr:row>57</xdr:row>
      <xdr:rowOff>33617</xdr:rowOff>
    </xdr:to>
    <xdr:graphicFrame macro="">
      <xdr:nvGraphicFramePr>
        <xdr:cNvPr id="6" name="Chart 5">
          <a:extLst>
            <a:ext uri="{FF2B5EF4-FFF2-40B4-BE49-F238E27FC236}">
              <a16:creationId xmlns:a16="http://schemas.microsoft.com/office/drawing/2014/main" id="{C7AEFE3A-4810-4F60-8702-6C81BFE89A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1465</xdr:colOff>
      <xdr:row>41</xdr:row>
      <xdr:rowOff>14288</xdr:rowOff>
    </xdr:from>
    <xdr:to>
      <xdr:col>13</xdr:col>
      <xdr:colOff>103935</xdr:colOff>
      <xdr:row>58</xdr:row>
      <xdr:rowOff>71438</xdr:rowOff>
    </xdr:to>
    <xdr:grpSp>
      <xdr:nvGrpSpPr>
        <xdr:cNvPr id="7" name="Group 6">
          <a:extLst>
            <a:ext uri="{FF2B5EF4-FFF2-40B4-BE49-F238E27FC236}">
              <a16:creationId xmlns:a16="http://schemas.microsoft.com/office/drawing/2014/main" id="{93DF8240-4D5C-4D0B-A71B-7D2B6376FBBA}"/>
            </a:ext>
          </a:extLst>
        </xdr:cNvPr>
        <xdr:cNvGrpSpPr/>
      </xdr:nvGrpSpPr>
      <xdr:grpSpPr>
        <a:xfrm>
          <a:off x="4992565" y="5660708"/>
          <a:ext cx="4019150" cy="2129790"/>
          <a:chOff x="4916365" y="5385227"/>
          <a:chExt cx="3755308" cy="2048439"/>
        </a:xfrm>
      </xdr:grpSpPr>
      <xdr:graphicFrame macro="">
        <xdr:nvGraphicFramePr>
          <xdr:cNvPr id="8" name="Chart 7">
            <a:extLst>
              <a:ext uri="{FF2B5EF4-FFF2-40B4-BE49-F238E27FC236}">
                <a16:creationId xmlns:a16="http://schemas.microsoft.com/office/drawing/2014/main" id="{C91A2437-8A70-ECF5-9A4A-6F3DF839DB1D}"/>
              </a:ext>
            </a:extLst>
          </xdr:cNvPr>
          <xdr:cNvGraphicFramePr>
            <a:graphicFrameLocks/>
          </xdr:cNvGraphicFramePr>
        </xdr:nvGraphicFramePr>
        <xdr:xfrm>
          <a:off x="4916365" y="5385230"/>
          <a:ext cx="1261103" cy="2048436"/>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4DF7501D-5B10-E208-466C-8042F0043C83}"/>
              </a:ext>
            </a:extLst>
          </xdr:cNvPr>
          <xdr:cNvGraphicFramePr>
            <a:graphicFrameLocks/>
          </xdr:cNvGraphicFramePr>
        </xdr:nvGraphicFramePr>
        <xdr:xfrm>
          <a:off x="6149873" y="5385227"/>
          <a:ext cx="1271308" cy="2047075"/>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0" name="Chart 9">
            <a:extLst>
              <a:ext uri="{FF2B5EF4-FFF2-40B4-BE49-F238E27FC236}">
                <a16:creationId xmlns:a16="http://schemas.microsoft.com/office/drawing/2014/main" id="{91C8D1E3-AA0B-76AF-3726-87ED6E7633C9}"/>
              </a:ext>
            </a:extLst>
          </xdr:cNvPr>
          <xdr:cNvGraphicFramePr>
            <a:graphicFrameLocks/>
          </xdr:cNvGraphicFramePr>
        </xdr:nvGraphicFramePr>
        <xdr:xfrm>
          <a:off x="7400365" y="5385227"/>
          <a:ext cx="1271308" cy="2048436"/>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NDP%20BTR%20National%20Energy%20Expert/Work/02%20Calculator/GHG%20Reporting%20Won%206.xlsx" TargetMode="External"/><Relationship Id="rId2" Type="http://schemas.openxmlformats.org/officeDocument/2006/relationships/externalLinkPath" Target="file:///G:\UNDP%20BTR%20National%20Energy%20Expert\Work\02%20Calculator\GHG%20Reporting%20Won%206.xlsx" TargetMode="External"/><Relationship Id="rId1" Type="http://schemas.openxmlformats.org/officeDocument/2006/relationships/externalLinkPath" Target="/UNDP%20BTR%20National%20Energy%20Expert/Work/02%20Calculator/GHG%20Reporting%20Won%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mpany_Year (Test)"/>
      <sheetName val="Company_Year (7)"/>
      <sheetName val="Company_Year (6)"/>
      <sheetName val="Company_Year (5)"/>
      <sheetName val="Test WVL"/>
      <sheetName val="Company_Year (4)"/>
      <sheetName val="Company_Year (3)"/>
      <sheetName val="Company_Year (2)"/>
      <sheetName val="Company_Year"/>
      <sheetName val="Sheet1 (2)"/>
      <sheetName val="Summary"/>
      <sheetName val="Reporting"/>
      <sheetName val="Mitigation"/>
      <sheetName val="Refere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hgprotocol.org/sites/default/files/2024-05/Emission_Factors_for_Cross_Sector_Tools_V2.0_0.xlsx" TargetMode="External"/><Relationship Id="rId7" Type="http://schemas.openxmlformats.org/officeDocument/2006/relationships/comments" Target="../comments1.xml"/><Relationship Id="rId2" Type="http://schemas.openxmlformats.org/officeDocument/2006/relationships/hyperlink" Target="https://ghgprotocol.org/sites/default/files/2024-05/Emission_Factors_for_Cross_Sector_Tools_V2.0_0.xlsx" TargetMode="External"/><Relationship Id="rId1" Type="http://schemas.openxmlformats.org/officeDocument/2006/relationships/hyperlink" Target="https://ghgprotocol.org/sites/default/files/2024-05/Emission_Factors_for_Cross_Sector_Tools_V2.0_0.xlsx"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C88D0-076D-4A35-89D7-B95AA117E076}">
  <sheetPr>
    <pageSetUpPr fitToPage="1"/>
  </sheetPr>
  <dimension ref="A1:AW66"/>
  <sheetViews>
    <sheetView tabSelected="1" zoomScale="85" zoomScaleNormal="85" workbookViewId="0">
      <selection activeCell="B19" sqref="B19:M19"/>
    </sheetView>
  </sheetViews>
  <sheetFormatPr defaultColWidth="0" defaultRowHeight="0" customHeight="1" zeroHeight="1" x14ac:dyDescent="0.3"/>
  <cols>
    <col min="1" max="1" width="0.88671875" style="6" customWidth="1"/>
    <col min="2" max="2" width="18.109375" style="6" customWidth="1"/>
    <col min="3" max="3" width="14.5546875" style="6" customWidth="1"/>
    <col min="4" max="4" width="14.88671875" style="6" customWidth="1"/>
    <col min="5" max="7" width="14.44140625" style="6" customWidth="1"/>
    <col min="8" max="8" width="15" style="6" customWidth="1"/>
    <col min="9" max="9" width="14.77734375" style="6" customWidth="1"/>
    <col min="10" max="10" width="14.109375" style="6" customWidth="1"/>
    <col min="11" max="11" width="10.5546875" style="6" customWidth="1"/>
    <col min="12" max="12" width="9.77734375" style="6" customWidth="1"/>
    <col min="13" max="13" width="11.88671875" style="6" customWidth="1"/>
    <col min="14" max="14" width="13" style="6" customWidth="1"/>
    <col min="15" max="15" width="1.5546875" style="6" customWidth="1"/>
    <col min="16" max="16" width="19.5546875" style="6" hidden="1"/>
    <col min="17" max="17" width="6.88671875" style="6" hidden="1"/>
    <col min="18" max="18" width="11.109375" style="6" hidden="1"/>
    <col min="19" max="19" width="10.77734375" style="6" hidden="1"/>
    <col min="20" max="20" width="12.109375" style="6" hidden="1"/>
    <col min="21" max="22" width="11.109375" style="6" hidden="1"/>
    <col min="23" max="23" width="10.109375" style="6" hidden="1"/>
    <col min="24" max="24" width="13.88671875" style="6" hidden="1"/>
    <col min="25" max="25" width="11.44140625" style="6" hidden="1"/>
    <col min="26" max="26" width="13.5546875" style="6" hidden="1"/>
    <col min="27" max="27" width="11.21875" style="6" hidden="1"/>
    <col min="28" max="28" width="10" style="6" hidden="1"/>
    <col min="29" max="30" width="10.44140625" style="9" hidden="1"/>
    <col min="31" max="31" width="2.88671875" style="9" hidden="1"/>
    <col min="32" max="32" width="19" style="9" hidden="1"/>
    <col min="33" max="33" width="10.88671875" style="9" hidden="1"/>
    <col min="34" max="34" width="15.44140625" style="9" hidden="1"/>
    <col min="35" max="35" width="11.109375" style="9" hidden="1"/>
    <col min="36" max="36" width="13.88671875" style="10" hidden="1"/>
    <col min="37" max="40" width="11.21875" style="9" hidden="1"/>
    <col min="41" max="41" width="2.77734375" style="11" hidden="1"/>
    <col min="42" max="42" width="17.88671875" style="12" hidden="1"/>
    <col min="43" max="43" width="9.44140625" style="11" hidden="1"/>
    <col min="44" max="44" width="11.44140625" style="11" hidden="1"/>
    <col min="45" max="45" width="15.44140625" style="11" hidden="1"/>
    <col min="46" max="46" width="14" style="11" hidden="1"/>
    <col min="47" max="48" width="9.109375" style="11" hidden="1"/>
    <col min="49" max="49" width="2.88671875" style="11" hidden="1"/>
    <col min="50" max="16384" width="9.109375" style="11" hidden="1"/>
  </cols>
  <sheetData>
    <row r="1" spans="1:42" ht="18" customHeight="1" thickTop="1" thickBot="1" x14ac:dyDescent="0.35">
      <c r="A1" s="1"/>
      <c r="B1" s="2"/>
      <c r="C1" s="278" t="s">
        <v>0</v>
      </c>
      <c r="D1" s="278"/>
      <c r="E1" s="278"/>
      <c r="F1" s="278"/>
      <c r="G1" s="3" t="s">
        <v>1</v>
      </c>
      <c r="H1" s="4"/>
      <c r="I1" s="278" t="s">
        <v>2</v>
      </c>
      <c r="J1" s="278"/>
      <c r="K1" s="278"/>
      <c r="L1" s="278"/>
      <c r="M1" s="278"/>
      <c r="N1" s="3" t="s">
        <v>1</v>
      </c>
      <c r="O1" s="1"/>
      <c r="P1" s="5"/>
      <c r="X1" s="7"/>
      <c r="Y1" s="7"/>
      <c r="Z1" s="7"/>
      <c r="AA1" s="7"/>
      <c r="AC1" s="8"/>
      <c r="AD1" s="8"/>
    </row>
    <row r="2" spans="1:42" ht="23.4" customHeight="1" thickTop="1" x14ac:dyDescent="0.3">
      <c r="A2" s="1"/>
      <c r="B2" s="279" t="s">
        <v>3</v>
      </c>
      <c r="C2" s="280"/>
      <c r="D2" s="280"/>
      <c r="E2" s="280"/>
      <c r="F2" s="280"/>
      <c r="G2" s="281"/>
      <c r="H2" s="282" t="s">
        <v>4</v>
      </c>
      <c r="I2" s="283"/>
      <c r="J2" s="283"/>
      <c r="K2" s="283"/>
      <c r="L2" s="283"/>
      <c r="M2" s="283"/>
      <c r="N2" s="284"/>
      <c r="O2" s="1"/>
      <c r="P2" s="285" t="s">
        <v>5</v>
      </c>
      <c r="Q2" s="285"/>
      <c r="R2" s="285"/>
      <c r="S2" s="285"/>
      <c r="T2" s="285"/>
      <c r="U2" s="285"/>
      <c r="V2" s="285"/>
      <c r="W2" s="285"/>
      <c r="X2" s="285"/>
      <c r="Y2" s="285"/>
      <c r="Z2" s="285"/>
      <c r="AA2" s="285"/>
      <c r="AB2" s="285"/>
      <c r="AC2" s="285"/>
      <c r="AD2" s="285"/>
      <c r="AF2" s="277" t="s">
        <v>6</v>
      </c>
      <c r="AG2" s="277"/>
      <c r="AH2" s="277"/>
      <c r="AI2" s="277"/>
      <c r="AJ2" s="277"/>
    </row>
    <row r="3" spans="1:42" ht="15" customHeight="1" x14ac:dyDescent="0.3">
      <c r="A3" s="1"/>
      <c r="B3" s="13" t="s">
        <v>7</v>
      </c>
      <c r="C3" s="289"/>
      <c r="D3" s="289"/>
      <c r="E3" s="14" t="s">
        <v>8</v>
      </c>
      <c r="F3" s="290">
        <v>2025</v>
      </c>
      <c r="G3" s="291"/>
      <c r="H3" s="286" t="s">
        <v>9</v>
      </c>
      <c r="I3" s="287"/>
      <c r="J3" s="287"/>
      <c r="K3" s="286" t="s">
        <v>10</v>
      </c>
      <c r="L3" s="287"/>
      <c r="M3" s="287"/>
      <c r="N3" s="288"/>
      <c r="O3" s="1"/>
      <c r="P3" s="15"/>
      <c r="Q3" s="15" t="s">
        <v>11</v>
      </c>
      <c r="R3" s="15" t="s">
        <v>12</v>
      </c>
      <c r="S3" s="15" t="s">
        <v>13</v>
      </c>
      <c r="T3" s="15" t="s">
        <v>14</v>
      </c>
      <c r="U3" s="16" t="s">
        <v>15</v>
      </c>
      <c r="V3" s="16" t="s">
        <v>16</v>
      </c>
      <c r="W3" s="15" t="s">
        <v>17</v>
      </c>
      <c r="X3" s="15" t="s">
        <v>18</v>
      </c>
      <c r="Y3" s="15" t="s">
        <v>19</v>
      </c>
      <c r="Z3" s="15" t="s">
        <v>20</v>
      </c>
      <c r="AA3" s="15" t="s">
        <v>21</v>
      </c>
      <c r="AB3" s="15" t="s">
        <v>22</v>
      </c>
      <c r="AC3" s="15" t="s">
        <v>23</v>
      </c>
      <c r="AD3" s="15" t="s">
        <v>24</v>
      </c>
      <c r="AF3" s="17" t="s">
        <v>25</v>
      </c>
      <c r="AG3" s="18" t="s">
        <v>26</v>
      </c>
      <c r="AH3" s="18" t="s">
        <v>27</v>
      </c>
      <c r="AI3" s="18" t="s">
        <v>28</v>
      </c>
      <c r="AJ3" s="18" t="s">
        <v>29</v>
      </c>
    </row>
    <row r="4" spans="1:42" ht="15" customHeight="1" x14ac:dyDescent="0.3">
      <c r="A4" s="1"/>
      <c r="B4" s="19" t="s">
        <v>30</v>
      </c>
      <c r="C4" s="292"/>
      <c r="D4" s="292"/>
      <c r="E4" s="292"/>
      <c r="F4" s="292"/>
      <c r="G4" s="293"/>
      <c r="H4" s="20"/>
      <c r="I4" s="21" t="s">
        <v>31</v>
      </c>
      <c r="J4" s="22" t="s">
        <v>32</v>
      </c>
      <c r="K4" s="20"/>
      <c r="L4" s="22" t="s">
        <v>33</v>
      </c>
      <c r="M4" s="22" t="s">
        <v>34</v>
      </c>
      <c r="N4" s="23" t="s">
        <v>32</v>
      </c>
      <c r="O4" s="1"/>
      <c r="P4" s="24" t="s">
        <v>35</v>
      </c>
      <c r="Q4" s="25" t="s">
        <v>36</v>
      </c>
      <c r="R4" s="25" t="s">
        <v>36</v>
      </c>
      <c r="S4" s="25"/>
      <c r="T4" s="25"/>
      <c r="U4" s="25"/>
      <c r="V4" s="25"/>
      <c r="W4" s="25"/>
      <c r="X4" s="25"/>
      <c r="Y4" s="25"/>
      <c r="Z4" s="25"/>
      <c r="AA4" s="25"/>
      <c r="AB4" s="26">
        <v>1</v>
      </c>
      <c r="AC4" s="27">
        <v>28</v>
      </c>
      <c r="AD4" s="27">
        <v>265</v>
      </c>
      <c r="AF4" s="24" t="s">
        <v>37</v>
      </c>
      <c r="AG4" s="28" t="s">
        <v>38</v>
      </c>
      <c r="AH4" s="26">
        <v>1.55</v>
      </c>
      <c r="AI4" s="28" t="s">
        <v>39</v>
      </c>
      <c r="AJ4" s="26" t="s">
        <v>40</v>
      </c>
    </row>
    <row r="5" spans="1:42" ht="15" customHeight="1" x14ac:dyDescent="0.3">
      <c r="A5" s="1"/>
      <c r="B5" s="19" t="s">
        <v>41</v>
      </c>
      <c r="C5" s="294"/>
      <c r="D5" s="294"/>
      <c r="E5" s="29" t="s">
        <v>42</v>
      </c>
      <c r="F5" s="292"/>
      <c r="G5" s="293"/>
      <c r="H5" s="19" t="s">
        <v>43</v>
      </c>
      <c r="I5" s="30"/>
      <c r="J5" s="31">
        <f>((I5*$AB$5)*$AB$4+(I5*$AC$5)*$AC$4+(I5*$AD$5)*$AD$4)/1000</f>
        <v>0</v>
      </c>
      <c r="K5" s="19" t="s">
        <v>44</v>
      </c>
      <c r="L5" s="32"/>
      <c r="M5" s="33"/>
      <c r="N5" s="34">
        <f>L5*M5*220*0.8*10^-6*0.8*(AB6*AB4+AC6*AC4+AD6*AD4)</f>
        <v>0</v>
      </c>
      <c r="O5" s="1"/>
      <c r="P5" s="35" t="s">
        <v>45</v>
      </c>
      <c r="Q5" s="36" t="s">
        <v>46</v>
      </c>
      <c r="R5" s="37">
        <v>0.25</v>
      </c>
      <c r="S5" s="38"/>
      <c r="T5" s="39">
        <v>1</v>
      </c>
      <c r="U5" s="39" t="s">
        <v>36</v>
      </c>
      <c r="V5" s="39" t="s">
        <v>36</v>
      </c>
      <c r="W5" s="39"/>
      <c r="X5" s="39" t="s">
        <v>36</v>
      </c>
      <c r="Y5" s="39" t="s">
        <v>36</v>
      </c>
      <c r="Z5" s="39" t="s">
        <v>36</v>
      </c>
      <c r="AA5" s="39" t="s">
        <v>36</v>
      </c>
      <c r="AB5" s="40">
        <v>0.56722499999999998</v>
      </c>
      <c r="AC5" s="41">
        <f>AC6*$AB$5/$AB$6</f>
        <v>1.5471319859258656E-5</v>
      </c>
      <c r="AD5" s="41">
        <f>AD6*$AB$5/$AB$6</f>
        <v>4.6413959577775964E-6</v>
      </c>
      <c r="AF5" s="35" t="s">
        <v>47</v>
      </c>
      <c r="AG5" s="42" t="s">
        <v>48</v>
      </c>
      <c r="AH5" s="43">
        <v>1.41E-2</v>
      </c>
      <c r="AI5" s="42" t="s">
        <v>39</v>
      </c>
      <c r="AJ5" s="43" t="s">
        <v>49</v>
      </c>
    </row>
    <row r="6" spans="1:42" ht="15" customHeight="1" thickBot="1" x14ac:dyDescent="0.35">
      <c r="A6" s="1"/>
      <c r="B6" s="19" t="s">
        <v>50</v>
      </c>
      <c r="C6" s="295"/>
      <c r="D6" s="292"/>
      <c r="E6" s="29" t="s">
        <v>51</v>
      </c>
      <c r="F6" s="296"/>
      <c r="G6" s="297"/>
      <c r="H6" s="19" t="s">
        <v>52</v>
      </c>
      <c r="I6" s="30"/>
      <c r="J6" s="31">
        <f>((I6*$AB$6)*$AB$4+(I6*$AC$6)*$AC$4+(I6*$AD$6)*$AD$4)/1000</f>
        <v>0</v>
      </c>
      <c r="K6" s="44" t="s">
        <v>53</v>
      </c>
      <c r="L6" s="45"/>
      <c r="M6" s="46"/>
      <c r="N6" s="47">
        <f>L6*M6*380*1.73*0.8*10^-6*0.8*(AB6*AB4+AC6*AC4+AD6*AD4)</f>
        <v>0</v>
      </c>
      <c r="O6" s="1"/>
      <c r="P6" s="35" t="s">
        <v>54</v>
      </c>
      <c r="Q6" s="36" t="s">
        <v>46</v>
      </c>
      <c r="R6" s="37">
        <v>0.45</v>
      </c>
      <c r="S6" s="48">
        <f>S8/T8</f>
        <v>2.2403482297717322E-4</v>
      </c>
      <c r="T6" s="39">
        <v>1</v>
      </c>
      <c r="U6" s="40">
        <v>43.33</v>
      </c>
      <c r="V6" s="40">
        <v>20.2</v>
      </c>
      <c r="W6" s="40">
        <v>2E-3</v>
      </c>
      <c r="X6" s="40">
        <v>5.9999999999999995E-4</v>
      </c>
      <c r="Y6" s="39">
        <f t="shared" ref="Y6:Y13" si="0">IFERROR((0.99*U6*V6*44/12)/1000,"")</f>
        <v>3.1772155799999995</v>
      </c>
      <c r="Z6" s="49">
        <f t="shared" ref="Z6:AA13" si="1">IFERROR(($U6*W6)/1000,"")</f>
        <v>8.666E-5</v>
      </c>
      <c r="AA6" s="49">
        <f t="shared" si="1"/>
        <v>2.5997999999999997E-5</v>
      </c>
      <c r="AB6" s="39">
        <f>IFERROR((Y6*1000)*$S6,"")</f>
        <v>0.71180693002561668</v>
      </c>
      <c r="AC6" s="50">
        <f t="shared" ref="AB6:AD10" si="2">IFERROR((Z6*1000)*$S6,"")</f>
        <v>1.9414857759201833E-5</v>
      </c>
      <c r="AD6" s="50">
        <f t="shared" si="2"/>
        <v>5.824457327760549E-6</v>
      </c>
      <c r="AF6" s="35" t="s">
        <v>55</v>
      </c>
      <c r="AG6" s="42" t="s">
        <v>38</v>
      </c>
      <c r="AH6" s="43">
        <v>1.2</v>
      </c>
      <c r="AI6" s="42" t="s">
        <v>39</v>
      </c>
      <c r="AJ6" s="43" t="s">
        <v>40</v>
      </c>
    </row>
    <row r="7" spans="1:42" ht="15" customHeight="1" thickTop="1" x14ac:dyDescent="0.3">
      <c r="A7" s="1"/>
      <c r="B7" s="19" t="s">
        <v>56</v>
      </c>
      <c r="C7" s="294"/>
      <c r="D7" s="294"/>
      <c r="E7" s="29" t="s">
        <v>57</v>
      </c>
      <c r="F7" s="295"/>
      <c r="G7" s="293"/>
      <c r="H7" s="19" t="s">
        <v>58</v>
      </c>
      <c r="I7" s="51"/>
      <c r="J7" s="31" t="str">
        <f>IF(I7="","",0)</f>
        <v/>
      </c>
      <c r="K7" s="52"/>
      <c r="L7" s="53"/>
      <c r="M7" s="54"/>
      <c r="N7" s="55"/>
      <c r="O7" s="1"/>
      <c r="P7" s="35" t="s">
        <v>58</v>
      </c>
      <c r="Q7" s="36" t="s">
        <v>46</v>
      </c>
      <c r="R7" s="37">
        <v>0</v>
      </c>
      <c r="S7" s="48"/>
      <c r="T7" s="39">
        <v>1</v>
      </c>
      <c r="U7" s="40">
        <v>0</v>
      </c>
      <c r="V7" s="40">
        <v>0</v>
      </c>
      <c r="W7" s="40">
        <v>0</v>
      </c>
      <c r="X7" s="40">
        <v>0</v>
      </c>
      <c r="Y7" s="39">
        <f t="shared" si="0"/>
        <v>0</v>
      </c>
      <c r="Z7" s="49">
        <f t="shared" si="1"/>
        <v>0</v>
      </c>
      <c r="AA7" s="49">
        <f t="shared" si="1"/>
        <v>0</v>
      </c>
      <c r="AB7" s="39">
        <f t="shared" ref="AB7" si="3">IFERROR((Y7*1000)*$S7,"")</f>
        <v>0</v>
      </c>
      <c r="AC7" s="50">
        <f t="shared" si="2"/>
        <v>0</v>
      </c>
      <c r="AD7" s="50">
        <f t="shared" si="2"/>
        <v>0</v>
      </c>
      <c r="AF7" s="35" t="s">
        <v>59</v>
      </c>
      <c r="AG7" s="42" t="s">
        <v>60</v>
      </c>
      <c r="AH7" s="43">
        <v>2.21</v>
      </c>
      <c r="AI7" s="42" t="s">
        <v>39</v>
      </c>
      <c r="AJ7" s="43" t="s">
        <v>40</v>
      </c>
      <c r="AK7" s="56"/>
    </row>
    <row r="8" spans="1:42" ht="16.5" customHeight="1" x14ac:dyDescent="0.3">
      <c r="A8" s="1"/>
      <c r="B8" s="298" t="s">
        <v>61</v>
      </c>
      <c r="C8" s="299"/>
      <c r="D8" s="299"/>
      <c r="E8" s="299"/>
      <c r="F8" s="299"/>
      <c r="G8" s="300"/>
      <c r="H8" s="282" t="s">
        <v>62</v>
      </c>
      <c r="I8" s="283"/>
      <c r="J8" s="283"/>
      <c r="K8" s="283"/>
      <c r="L8" s="283"/>
      <c r="M8" s="283"/>
      <c r="N8" s="284"/>
      <c r="O8" s="1"/>
      <c r="P8" s="35" t="s">
        <v>63</v>
      </c>
      <c r="Q8" s="36" t="s">
        <v>64</v>
      </c>
      <c r="R8" s="37">
        <f>(1380000/89000)/20</f>
        <v>0.7752808988764045</v>
      </c>
      <c r="S8" s="48">
        <f>0.83/1000</f>
        <v>8.3000000000000001E-4</v>
      </c>
      <c r="T8" s="39">
        <f>37.085%*U8*S8/(0.0000036*1000)</f>
        <v>3.7047811986111117</v>
      </c>
      <c r="U8" s="40">
        <v>43.33</v>
      </c>
      <c r="V8" s="40">
        <v>20.2</v>
      </c>
      <c r="W8" s="40">
        <v>2E-3</v>
      </c>
      <c r="X8" s="40">
        <v>5.9999999999999995E-4</v>
      </c>
      <c r="Y8" s="39">
        <f t="shared" si="0"/>
        <v>3.1772155799999995</v>
      </c>
      <c r="Z8" s="49">
        <f t="shared" si="1"/>
        <v>8.666E-5</v>
      </c>
      <c r="AA8" s="49">
        <f t="shared" si="1"/>
        <v>2.5997999999999997E-5</v>
      </c>
      <c r="AB8" s="39">
        <f t="shared" si="2"/>
        <v>2.6370889313999997</v>
      </c>
      <c r="AC8" s="50">
        <f t="shared" si="2"/>
        <v>7.1927800000000006E-5</v>
      </c>
      <c r="AD8" s="50">
        <f t="shared" si="2"/>
        <v>2.1578339999999999E-5</v>
      </c>
      <c r="AF8" s="35" t="s">
        <v>65</v>
      </c>
      <c r="AG8" s="42" t="s">
        <v>66</v>
      </c>
      <c r="AH8" s="43">
        <v>4.45</v>
      </c>
      <c r="AI8" s="42" t="s">
        <v>39</v>
      </c>
      <c r="AJ8" s="43" t="s">
        <v>40</v>
      </c>
      <c r="AK8" s="56"/>
    </row>
    <row r="9" spans="1:42" ht="15" customHeight="1" x14ac:dyDescent="0.3">
      <c r="A9" s="1"/>
      <c r="B9" s="301"/>
      <c r="C9" s="302"/>
      <c r="D9" s="302"/>
      <c r="E9" s="302"/>
      <c r="F9" s="302"/>
      <c r="G9" s="303"/>
      <c r="H9" s="286" t="s">
        <v>67</v>
      </c>
      <c r="I9" s="287"/>
      <c r="J9" s="287"/>
      <c r="K9" s="287"/>
      <c r="L9" s="287"/>
      <c r="M9" s="287"/>
      <c r="N9" s="288"/>
      <c r="O9" s="1"/>
      <c r="P9" s="35" t="s">
        <v>68</v>
      </c>
      <c r="Q9" s="36" t="s">
        <v>64</v>
      </c>
      <c r="R9" s="57">
        <v>0.8</v>
      </c>
      <c r="S9" s="48">
        <f>0.9/1000</f>
        <v>8.9999999999999998E-4</v>
      </c>
      <c r="T9" s="39">
        <f>40%*U9*S9/(0.0000036*1000)</f>
        <v>4.0190000000000001</v>
      </c>
      <c r="U9" s="40">
        <v>40.19</v>
      </c>
      <c r="V9" s="40">
        <v>21.1</v>
      </c>
      <c r="W9" s="40">
        <v>2E-3</v>
      </c>
      <c r="X9" s="40">
        <v>5.9999999999999995E-4</v>
      </c>
      <c r="Y9" s="39">
        <f t="shared" si="0"/>
        <v>3.0782726700000005</v>
      </c>
      <c r="Z9" s="49">
        <f t="shared" si="1"/>
        <v>8.038E-5</v>
      </c>
      <c r="AA9" s="49">
        <f t="shared" si="1"/>
        <v>2.4113999999999996E-5</v>
      </c>
      <c r="AB9" s="39">
        <f t="shared" si="2"/>
        <v>2.7704454030000001</v>
      </c>
      <c r="AC9" s="50">
        <f t="shared" si="2"/>
        <v>7.2341999999999993E-5</v>
      </c>
      <c r="AD9" s="50">
        <f t="shared" si="2"/>
        <v>2.1702599999999998E-5</v>
      </c>
      <c r="AF9" s="35" t="s">
        <v>69</v>
      </c>
      <c r="AG9" s="42" t="s">
        <v>66</v>
      </c>
      <c r="AH9" s="43">
        <v>0.62</v>
      </c>
      <c r="AI9" s="42" t="s">
        <v>39</v>
      </c>
      <c r="AJ9" s="43" t="s">
        <v>40</v>
      </c>
    </row>
    <row r="10" spans="1:42" ht="15" customHeight="1" x14ac:dyDescent="0.3">
      <c r="A10" s="1"/>
      <c r="B10" s="304" t="s">
        <v>70</v>
      </c>
      <c r="C10" s="306"/>
      <c r="D10" s="306"/>
      <c r="E10" s="304" t="s">
        <v>71</v>
      </c>
      <c r="F10" s="308"/>
      <c r="G10" s="309"/>
      <c r="H10" s="312"/>
      <c r="I10" s="313"/>
      <c r="J10" s="22" t="s">
        <v>72</v>
      </c>
      <c r="K10" s="313" t="s">
        <v>73</v>
      </c>
      <c r="L10" s="313"/>
      <c r="M10" s="58" t="s">
        <v>74</v>
      </c>
      <c r="N10" s="23" t="s">
        <v>32</v>
      </c>
      <c r="O10" s="1"/>
      <c r="P10" s="35" t="s">
        <v>75</v>
      </c>
      <c r="Q10" s="36" t="s">
        <v>76</v>
      </c>
      <c r="R10" s="57">
        <v>420</v>
      </c>
      <c r="S10" s="48">
        <v>1</v>
      </c>
      <c r="T10" s="59">
        <f>40%*U10*S10/(0.0000036*1000)</f>
        <v>3611.1111111111113</v>
      </c>
      <c r="U10" s="60">
        <v>32.5</v>
      </c>
      <c r="V10" s="61">
        <v>27</v>
      </c>
      <c r="W10" s="60">
        <f>10/1000</f>
        <v>0.01</v>
      </c>
      <c r="X10" s="60">
        <f>0.6/1000</f>
        <v>5.9999999999999995E-4</v>
      </c>
      <c r="Y10" s="39">
        <f t="shared" si="0"/>
        <v>3.1853249999999993</v>
      </c>
      <c r="Z10" s="49">
        <f t="shared" si="1"/>
        <v>3.2499999999999999E-4</v>
      </c>
      <c r="AA10" s="49">
        <f t="shared" si="1"/>
        <v>1.95E-5</v>
      </c>
      <c r="AB10" s="39">
        <f t="shared" si="2"/>
        <v>3185.3249999999994</v>
      </c>
      <c r="AC10" s="50">
        <f t="shared" si="2"/>
        <v>0.32500000000000001</v>
      </c>
      <c r="AD10" s="50">
        <f t="shared" si="2"/>
        <v>1.95E-2</v>
      </c>
      <c r="AF10" s="35" t="s">
        <v>77</v>
      </c>
      <c r="AG10" s="42" t="s">
        <v>78</v>
      </c>
      <c r="AH10" s="43">
        <v>0.52</v>
      </c>
      <c r="AI10" s="42" t="s">
        <v>39</v>
      </c>
      <c r="AJ10" s="43" t="s">
        <v>40</v>
      </c>
      <c r="AK10" s="314" t="s">
        <v>79</v>
      </c>
      <c r="AL10" s="314"/>
      <c r="AM10" s="314" t="s">
        <v>80</v>
      </c>
      <c r="AN10" s="314"/>
    </row>
    <row r="11" spans="1:42" ht="15" customHeight="1" thickBot="1" x14ac:dyDescent="0.35">
      <c r="A11" s="1"/>
      <c r="B11" s="305"/>
      <c r="C11" s="307"/>
      <c r="D11" s="307"/>
      <c r="E11" s="305"/>
      <c r="F11" s="310"/>
      <c r="G11" s="311"/>
      <c r="H11" s="315" t="s">
        <v>81</v>
      </c>
      <c r="I11" s="316"/>
      <c r="J11" s="30"/>
      <c r="K11" s="317"/>
      <c r="L11" s="317"/>
      <c r="M11" s="30"/>
      <c r="N11" s="62">
        <f>((J11*$AB$8+K11*$AB$9+M11*$AB$10)*$AB$4+(J11*$AC$8+K11*$AC$9+M11*$AC$10)*$AC$4+(J11*$AD$8+K11*$AD$9+M11*$AD$10)*$AD$4)/1000</f>
        <v>0</v>
      </c>
      <c r="O11" s="1"/>
      <c r="P11" s="35" t="s">
        <v>82</v>
      </c>
      <c r="Q11" s="63" t="s">
        <v>83</v>
      </c>
      <c r="R11" s="37">
        <f>(1115000/89000)/10</f>
        <v>1.252808988764045</v>
      </c>
      <c r="S11" s="48">
        <f>1/1000</f>
        <v>1E-3</v>
      </c>
      <c r="T11" s="64">
        <f>60%*U11*S11/(0.0000036*1000)</f>
        <v>7.8850000000000007</v>
      </c>
      <c r="U11" s="40">
        <v>47.31</v>
      </c>
      <c r="V11" s="40">
        <v>17.2</v>
      </c>
      <c r="W11" s="40">
        <v>5.0000000000000001E-3</v>
      </c>
      <c r="X11" s="40">
        <v>1E-4</v>
      </c>
      <c r="Y11" s="39">
        <f t="shared" si="0"/>
        <v>2.9538471599999996</v>
      </c>
      <c r="Z11" s="49">
        <f t="shared" si="1"/>
        <v>2.3655E-4</v>
      </c>
      <c r="AA11" s="49">
        <f t="shared" si="1"/>
        <v>4.731000000000001E-6</v>
      </c>
      <c r="AB11" s="65">
        <f>IFERROR(Y11*1000*$S11,"")</f>
        <v>2.95384716</v>
      </c>
      <c r="AC11" s="66">
        <f>IFERROR(Z11*1000*$S11,"")</f>
        <v>2.3655E-4</v>
      </c>
      <c r="AD11" s="66">
        <f>IFERROR(AA11*1000*$S11,"")</f>
        <v>4.731000000000001E-6</v>
      </c>
      <c r="AF11" s="35" t="s">
        <v>84</v>
      </c>
      <c r="AG11" s="42" t="s">
        <v>60</v>
      </c>
      <c r="AH11" s="43">
        <v>0.25</v>
      </c>
      <c r="AI11" s="42" t="s">
        <v>39</v>
      </c>
      <c r="AJ11" s="43" t="s">
        <v>40</v>
      </c>
      <c r="AK11" s="67" t="s">
        <v>85</v>
      </c>
      <c r="AL11" s="67" t="s">
        <v>86</v>
      </c>
      <c r="AM11" s="67" t="s">
        <v>85</v>
      </c>
      <c r="AN11" s="67" t="s">
        <v>86</v>
      </c>
    </row>
    <row r="12" spans="1:42" ht="15" customHeight="1" thickTop="1" thickBot="1" x14ac:dyDescent="0.35">
      <c r="A12" s="1"/>
      <c r="B12" s="68"/>
      <c r="C12" s="68"/>
      <c r="D12" s="68"/>
      <c r="E12" s="68"/>
      <c r="F12" s="68"/>
      <c r="G12" s="69"/>
      <c r="H12" s="315" t="s">
        <v>87</v>
      </c>
      <c r="I12" s="316"/>
      <c r="J12" s="30"/>
      <c r="K12" s="317"/>
      <c r="L12" s="317"/>
      <c r="M12" s="30"/>
      <c r="N12" s="62">
        <f>((J12*$AB$8+K12*$AB$9+M12*$AB$10)*$AB$4+(J12*$AC$8+K12*$AC$9+M12*$AC$10)*$AC$4+(J12*$AD$8+K12*$AD$9+M12*$AD$10)*$AD$4)/1000</f>
        <v>0</v>
      </c>
      <c r="O12" s="1"/>
      <c r="P12" s="35" t="s">
        <v>88</v>
      </c>
      <c r="Q12" s="63" t="s">
        <v>64</v>
      </c>
      <c r="R12" s="37">
        <f>(1466000/89000)/20</f>
        <v>0.82359550561797756</v>
      </c>
      <c r="S12" s="48">
        <f>0.74/1000</f>
        <v>7.3999999999999999E-4</v>
      </c>
      <c r="T12" s="39" t="s">
        <v>36</v>
      </c>
      <c r="U12" s="40">
        <v>44.8</v>
      </c>
      <c r="V12" s="40">
        <v>18.899999999999999</v>
      </c>
      <c r="W12" s="40">
        <v>0.02</v>
      </c>
      <c r="X12" s="40">
        <v>5.9999999999999995E-4</v>
      </c>
      <c r="Y12" s="39">
        <f t="shared" si="0"/>
        <v>3.0735935999999997</v>
      </c>
      <c r="Z12" s="49">
        <f t="shared" si="1"/>
        <v>8.9599999999999988E-4</v>
      </c>
      <c r="AA12" s="49">
        <f t="shared" si="1"/>
        <v>2.6879999999999997E-5</v>
      </c>
      <c r="AB12" s="70">
        <f t="shared" ref="AB12:AD13" si="4">IFERROR(Y12*$S12,"")</f>
        <v>2.2744592639999998E-3</v>
      </c>
      <c r="AC12" s="50">
        <f t="shared" si="4"/>
        <v>6.6303999999999988E-7</v>
      </c>
      <c r="AD12" s="50">
        <f t="shared" si="4"/>
        <v>1.9891199999999997E-8</v>
      </c>
      <c r="AF12" s="71" t="s">
        <v>89</v>
      </c>
      <c r="AG12" s="72" t="s">
        <v>90</v>
      </c>
      <c r="AH12" s="73">
        <f>(AN12-AL12)/1000</f>
        <v>8.4634954751131226E-5</v>
      </c>
      <c r="AI12" s="72" t="s">
        <v>91</v>
      </c>
      <c r="AJ12" s="74" t="s">
        <v>92</v>
      </c>
      <c r="AK12" s="72">
        <v>0</v>
      </c>
      <c r="AL12" s="75">
        <f>(0.129/0.663)*IF($C$25&gt;0,$C$25,$AB$5)</f>
        <v>0.11036504524886878</v>
      </c>
      <c r="AM12" s="72">
        <v>0.09</v>
      </c>
      <c r="AN12" s="75">
        <v>0.19500000000000001</v>
      </c>
    </row>
    <row r="13" spans="1:42" ht="15" customHeight="1" thickTop="1" x14ac:dyDescent="0.3">
      <c r="A13" s="1"/>
      <c r="B13" s="318" t="s">
        <v>93</v>
      </c>
      <c r="C13" s="319"/>
      <c r="D13" s="319"/>
      <c r="E13" s="319"/>
      <c r="F13" s="319"/>
      <c r="G13" s="320"/>
      <c r="H13" s="315" t="s">
        <v>94</v>
      </c>
      <c r="I13" s="316"/>
      <c r="J13" s="30"/>
      <c r="K13" s="317"/>
      <c r="L13" s="317"/>
      <c r="M13" s="30"/>
      <c r="N13" s="62">
        <f>((J13*$AB$8+K13*$AB$9+M13*$AB$10)*$AB$4+(J13*$AC$8+K13*$AC$9+M13*$AC$10)*$AC$4+(J13*$AD$8+K13*$AD$9+M13*$AD$10)*$AD$4)/1000</f>
        <v>0</v>
      </c>
      <c r="O13" s="1"/>
      <c r="P13" s="76" t="s">
        <v>95</v>
      </c>
      <c r="Q13" s="77" t="s">
        <v>64</v>
      </c>
      <c r="R13" s="37">
        <f>(1380000/89000)/20</f>
        <v>0.7752808988764045</v>
      </c>
      <c r="S13" s="78">
        <f>0.83/1000</f>
        <v>8.3000000000000001E-4</v>
      </c>
      <c r="T13" s="39" t="s">
        <v>36</v>
      </c>
      <c r="U13" s="79">
        <v>43.33</v>
      </c>
      <c r="V13" s="79">
        <v>20.2</v>
      </c>
      <c r="W13" s="79">
        <v>5.0000000000000001E-3</v>
      </c>
      <c r="X13" s="79">
        <v>5.9999999999999995E-4</v>
      </c>
      <c r="Y13" s="39">
        <f t="shared" si="0"/>
        <v>3.1772155799999995</v>
      </c>
      <c r="Z13" s="49">
        <f t="shared" si="1"/>
        <v>2.1665000000000001E-4</v>
      </c>
      <c r="AA13" s="49">
        <f t="shared" si="1"/>
        <v>2.5997999999999997E-5</v>
      </c>
      <c r="AB13" s="70">
        <f t="shared" si="4"/>
        <v>2.6370889313999998E-3</v>
      </c>
      <c r="AC13" s="50">
        <f t="shared" si="4"/>
        <v>1.7981950000000002E-7</v>
      </c>
      <c r="AD13" s="50">
        <f t="shared" si="4"/>
        <v>2.1578339999999999E-8</v>
      </c>
      <c r="AF13" s="71" t="s">
        <v>96</v>
      </c>
      <c r="AG13" s="72" t="s">
        <v>90</v>
      </c>
      <c r="AH13" s="73">
        <f>(AN13-AL13)/1000</f>
        <v>9.8323642533936661E-5</v>
      </c>
      <c r="AI13" s="72" t="s">
        <v>91</v>
      </c>
      <c r="AJ13" s="74" t="s">
        <v>92</v>
      </c>
      <c r="AK13" s="72">
        <v>0.05</v>
      </c>
      <c r="AL13" s="75">
        <f>(0.113/0.663)*IF($C$25&gt;0,$C$25,$AB$5)</f>
        <v>9.6676357466063345E-2</v>
      </c>
      <c r="AM13" s="72">
        <v>0.09</v>
      </c>
      <c r="AN13" s="75">
        <v>0.19500000000000001</v>
      </c>
    </row>
    <row r="14" spans="1:42" ht="16.5" customHeight="1" thickBot="1" x14ac:dyDescent="0.35">
      <c r="A14" s="1"/>
      <c r="B14" s="19"/>
      <c r="C14" s="80">
        <f>IF($F$3="","Previous Year",$F$3-1)</f>
        <v>2024</v>
      </c>
      <c r="D14" s="81"/>
      <c r="E14" s="80"/>
      <c r="F14" s="80">
        <f>IF($F$3="","Previous Year",$F$3-1)</f>
        <v>2024</v>
      </c>
      <c r="G14" s="80">
        <f>IF($F$3="","Reporting Year",$F$3)</f>
        <v>2025</v>
      </c>
      <c r="H14" s="315" t="s">
        <v>97</v>
      </c>
      <c r="I14" s="316"/>
      <c r="J14" s="30"/>
      <c r="K14" s="317"/>
      <c r="L14" s="317"/>
      <c r="M14" s="30"/>
      <c r="N14" s="34">
        <f>((J14*$AB$8+K14*$AB$9+M14*$AB$10)*$AB$4+(J14*$AC$8+K14*$AC$9+M14*$AC$10)*$AC$4+(J14*$AD$8+K14*$AD$9+M14*$AD$10)*$AD$4)/1000</f>
        <v>0</v>
      </c>
      <c r="O14" s="1"/>
      <c r="P14" s="82"/>
      <c r="X14" s="83"/>
      <c r="AC14" s="6"/>
      <c r="AD14" s="6"/>
      <c r="AF14" s="84"/>
      <c r="AG14" s="85"/>
      <c r="AH14" s="86"/>
      <c r="AI14" s="85"/>
      <c r="AJ14" s="86"/>
      <c r="AK14" s="85"/>
      <c r="AL14" s="85"/>
      <c r="AM14" s="85"/>
      <c r="AN14" s="85"/>
    </row>
    <row r="15" spans="1:42" ht="15" customHeight="1" thickTop="1" x14ac:dyDescent="0.3">
      <c r="A15" s="1"/>
      <c r="B15" s="19" t="s">
        <v>98</v>
      </c>
      <c r="C15" s="87"/>
      <c r="D15" s="315" t="s">
        <v>99</v>
      </c>
      <c r="E15" s="316"/>
      <c r="F15" s="88"/>
      <c r="G15" s="89"/>
      <c r="H15" s="327" t="s">
        <v>100</v>
      </c>
      <c r="I15" s="328"/>
      <c r="J15" s="328"/>
      <c r="K15" s="327" t="s">
        <v>101</v>
      </c>
      <c r="L15" s="328"/>
      <c r="M15" s="328"/>
      <c r="N15" s="329"/>
      <c r="O15" s="1"/>
      <c r="P15" s="321" t="s">
        <v>102</v>
      </c>
      <c r="Q15" s="321"/>
      <c r="R15" s="321"/>
      <c r="S15" s="321"/>
      <c r="T15" s="321"/>
      <c r="U15" s="321"/>
      <c r="V15" s="321"/>
      <c r="X15" s="321" t="s">
        <v>103</v>
      </c>
      <c r="Y15" s="321"/>
      <c r="Z15" s="321"/>
      <c r="AA15" s="321"/>
      <c r="AB15" s="321"/>
      <c r="AC15" s="321"/>
      <c r="AD15" s="321"/>
      <c r="AF15" s="84"/>
      <c r="AG15" s="85"/>
      <c r="AH15" s="86"/>
      <c r="AI15" s="85"/>
      <c r="AJ15" s="86"/>
      <c r="AK15" s="85"/>
      <c r="AL15" s="85"/>
      <c r="AM15" s="85"/>
      <c r="AN15" s="85"/>
    </row>
    <row r="16" spans="1:42" ht="15" customHeight="1" x14ac:dyDescent="0.3">
      <c r="A16" s="1"/>
      <c r="B16" s="19" t="s">
        <v>104</v>
      </c>
      <c r="C16" s="90"/>
      <c r="D16" s="315" t="s">
        <v>105</v>
      </c>
      <c r="E16" s="316"/>
      <c r="F16" s="88"/>
      <c r="G16" s="89"/>
      <c r="H16" s="322" t="s">
        <v>106</v>
      </c>
      <c r="I16" s="323"/>
      <c r="J16" s="22" t="s">
        <v>32</v>
      </c>
      <c r="K16" s="312" t="s">
        <v>107</v>
      </c>
      <c r="L16" s="313"/>
      <c r="M16" s="22" t="s">
        <v>72</v>
      </c>
      <c r="N16" s="23" t="s">
        <v>32</v>
      </c>
      <c r="O16" s="1"/>
      <c r="P16" s="324" t="s">
        <v>108</v>
      </c>
      <c r="Q16" s="324"/>
      <c r="R16" s="324"/>
      <c r="S16" s="324"/>
      <c r="T16" s="324"/>
      <c r="U16" s="324"/>
      <c r="V16" s="324"/>
      <c r="X16" s="325" t="s">
        <v>109</v>
      </c>
      <c r="Y16" s="326"/>
      <c r="Z16" s="91" t="s">
        <v>46</v>
      </c>
      <c r="AA16" s="91" t="s">
        <v>110</v>
      </c>
      <c r="AB16" s="91" t="s">
        <v>111</v>
      </c>
      <c r="AC16" s="91" t="s">
        <v>112</v>
      </c>
      <c r="AD16" s="91" t="s">
        <v>113</v>
      </c>
      <c r="AF16" s="35"/>
      <c r="AG16" s="42"/>
      <c r="AH16" s="43"/>
      <c r="AI16" s="42"/>
      <c r="AJ16" s="43"/>
      <c r="AK16" s="42"/>
      <c r="AL16" s="42"/>
      <c r="AM16" s="42"/>
      <c r="AN16" s="42"/>
      <c r="AP16" s="92"/>
    </row>
    <row r="17" spans="1:46" ht="15" customHeight="1" thickBot="1" x14ac:dyDescent="0.35">
      <c r="A17" s="1"/>
      <c r="B17" s="44" t="s">
        <v>114</v>
      </c>
      <c r="C17" s="90"/>
      <c r="D17" s="335" t="s">
        <v>115</v>
      </c>
      <c r="E17" s="336"/>
      <c r="F17" s="88"/>
      <c r="G17" s="93"/>
      <c r="H17" s="337"/>
      <c r="I17" s="338"/>
      <c r="J17" s="94">
        <f>(H17*$AB$11*$AB$4+H17*$AC$11*$AC$4+H17*$AD$11*$AD$4)/1000</f>
        <v>0</v>
      </c>
      <c r="K17" s="337"/>
      <c r="L17" s="338"/>
      <c r="M17" s="33"/>
      <c r="N17" s="95">
        <f>((K17*$AB$12+M17*$AB$13)*$AB$4+(K17*$AC$12+M17*$AC$13)*$AC$4+(K17*$AD$12+M17*$AD$13)*$AD$4)</f>
        <v>0</v>
      </c>
      <c r="O17" s="1"/>
      <c r="P17" s="96"/>
      <c r="Q17" s="97" t="s">
        <v>11</v>
      </c>
      <c r="R17" s="97" t="s">
        <v>116</v>
      </c>
      <c r="S17" s="98" t="s">
        <v>117</v>
      </c>
      <c r="T17" s="98" t="s">
        <v>111</v>
      </c>
      <c r="U17" s="98" t="s">
        <v>112</v>
      </c>
      <c r="V17" s="99" t="s">
        <v>113</v>
      </c>
      <c r="X17" s="100"/>
      <c r="Y17" s="101" t="s">
        <v>118</v>
      </c>
      <c r="Z17" s="102">
        <f>SUM(Z22:Z25)</f>
        <v>0</v>
      </c>
      <c r="AA17" s="103">
        <f>SUM(AA22:AA25)</f>
        <v>0</v>
      </c>
      <c r="AB17" s="103">
        <f>SUM(AB22:AB25)</f>
        <v>0</v>
      </c>
      <c r="AC17" s="104">
        <f>SUM(AC22:AC25)</f>
        <v>0</v>
      </c>
      <c r="AD17" s="104">
        <f>SUM(AD22:AD25)</f>
        <v>0</v>
      </c>
      <c r="AF17" s="35"/>
      <c r="AG17" s="42"/>
      <c r="AH17" s="43"/>
      <c r="AI17" s="42"/>
      <c r="AJ17" s="43"/>
      <c r="AK17" s="42"/>
      <c r="AL17" s="42"/>
      <c r="AM17" s="42"/>
      <c r="AN17" s="42"/>
      <c r="AP17" s="105"/>
    </row>
    <row r="18" spans="1:46" ht="15" customHeight="1" thickTop="1" thickBot="1" x14ac:dyDescent="0.35">
      <c r="A18" s="1"/>
      <c r="B18" s="106"/>
      <c r="C18" s="107"/>
      <c r="D18" s="106"/>
      <c r="E18" s="108"/>
      <c r="F18" s="108"/>
      <c r="G18" s="109"/>
      <c r="H18" s="110"/>
      <c r="I18" s="110"/>
      <c r="J18" s="111"/>
      <c r="K18" s="110"/>
      <c r="L18" s="110"/>
      <c r="M18" s="110"/>
      <c r="N18" s="111"/>
      <c r="O18" s="1"/>
      <c r="P18" s="112" t="s">
        <v>40</v>
      </c>
      <c r="Q18" s="113" t="s">
        <v>39</v>
      </c>
      <c r="R18" s="114" t="e">
        <f>1000*(R5*I5+R6*I6+R8*J11+R9*K11+R10*M11)/(I5+I6+J11*T8+K11*T9+M11*T10)</f>
        <v>#DIV/0!</v>
      </c>
      <c r="S18" s="115" t="e">
        <f>1000*SUM(AA22:AA28)/SUM(Z22:Z28)</f>
        <v>#DIV/0!</v>
      </c>
      <c r="T18" s="115" t="e">
        <f>1000*SUM(AB22:AB28)/SUM(Z22:Z28)</f>
        <v>#DIV/0!</v>
      </c>
      <c r="U18" s="116" t="e">
        <f>1000*SUM(AC22:AC28)/SUM(Z22:Z28)</f>
        <v>#DIV/0!</v>
      </c>
      <c r="V18" s="116" t="e">
        <f>1000*SUM(AD22:AD28)/SUM(Z22:Z28)</f>
        <v>#DIV/0!</v>
      </c>
      <c r="W18" s="117" t="e">
        <f>(T18*$AB$4+U18*$AC$4+V18*$AD$4)-S18</f>
        <v>#DIV/0!</v>
      </c>
      <c r="X18" s="118"/>
      <c r="Y18" s="119" t="s">
        <v>119</v>
      </c>
      <c r="Z18" s="102">
        <f>SUM(Z26:Z34,Z39)</f>
        <v>0</v>
      </c>
      <c r="AA18" s="102">
        <f>SUM(AA26:AA34,AA39)</f>
        <v>0</v>
      </c>
      <c r="AB18" s="102">
        <f>SUM(AB26:AB34,AB39)</f>
        <v>0</v>
      </c>
      <c r="AC18" s="120">
        <f>SUM(AC26:AC34,AC39)</f>
        <v>0</v>
      </c>
      <c r="AD18" s="120">
        <f>SUM(AD26:AD34,AD39)</f>
        <v>0</v>
      </c>
      <c r="AF18" s="35"/>
      <c r="AG18" s="42"/>
      <c r="AH18" s="43"/>
      <c r="AI18" s="42"/>
      <c r="AJ18" s="43"/>
      <c r="AK18" s="42"/>
      <c r="AL18" s="42"/>
      <c r="AM18" s="42"/>
      <c r="AN18" s="42"/>
      <c r="AP18" s="121"/>
      <c r="AT18" s="122"/>
    </row>
    <row r="19" spans="1:46" ht="18" customHeight="1" thickTop="1" thickBot="1" x14ac:dyDescent="0.35">
      <c r="A19" s="1"/>
      <c r="B19" s="339" t="s">
        <v>120</v>
      </c>
      <c r="C19" s="340"/>
      <c r="D19" s="340"/>
      <c r="E19" s="341"/>
      <c r="F19" s="341"/>
      <c r="G19" s="341"/>
      <c r="H19" s="341"/>
      <c r="I19" s="341"/>
      <c r="J19" s="341"/>
      <c r="K19" s="340"/>
      <c r="L19" s="340"/>
      <c r="M19" s="340"/>
      <c r="N19" s="123" t="s">
        <v>1</v>
      </c>
      <c r="O19" s="1"/>
      <c r="P19" s="112" t="s">
        <v>49</v>
      </c>
      <c r="Q19" s="113" t="s">
        <v>39</v>
      </c>
      <c r="R19" s="124" t="e">
        <f>1000*IFERROR((SUM(J12:J13)*R8+SUM(K12:L13)*R9+SUM(M12:M13)*R10)/((SUM(J12:J13)*T8+SUM(K12:L13)*T9+SUM(M12:M13)*T10)),R18)</f>
        <v>#DIV/0!</v>
      </c>
      <c r="S19" s="115" t="str">
        <f>IFERROR(1000*(N12+N13)/((J12+J13)*T8+(K12+K13)*T9+(M12+M13)*T10),C26)</f>
        <v>-</v>
      </c>
      <c r="T19" s="125" t="str">
        <f>IFERROR((SUM(J12:J13)*AB8+SUM(K12:L13)*AB9+SUM(M12:M13)*AB10)/(SUM(J12:J13)*T8+SUM(K12:L13)*T9+SUM(M12:M13)*T10),"")</f>
        <v/>
      </c>
      <c r="U19" s="126" t="str">
        <f>IFERROR((SUM(J12:J13)*AC8+SUM(K12:L13)*AC9+SUM(M12:M13)*AC10)/(SUM(J12:J13)*T8+SUM(K12:L13)*T9+SUM(M12:M13)*T10),"")</f>
        <v/>
      </c>
      <c r="V19" s="116" t="str">
        <f>IFERROR((SUM(J12:J13)*AD8+SUM(K12:L13)*AD9+SUM(M12:M13)*AD10)/(SUM(J12:J13)*T8+SUM(K12:L13)*T9+SUM(M12:M13)*T10),"")</f>
        <v/>
      </c>
      <c r="W19" s="117" t="e">
        <f>(T19*$AB$4+U19*$AC$4+V19*$AD$4)-S19</f>
        <v>#VALUE!</v>
      </c>
      <c r="X19" s="127"/>
      <c r="Y19" s="128" t="s">
        <v>92</v>
      </c>
      <c r="Z19" s="129"/>
      <c r="AA19" s="130">
        <f>AA36</f>
        <v>0</v>
      </c>
      <c r="AB19" s="131">
        <f>SUM(AB36:AB37)</f>
        <v>0</v>
      </c>
      <c r="AC19" s="132">
        <f>SUM(AC36:AC37)</f>
        <v>0</v>
      </c>
      <c r="AD19" s="132">
        <f>SUM(AD36:AD37)</f>
        <v>0</v>
      </c>
      <c r="AF19" s="35"/>
      <c r="AG19" s="42"/>
      <c r="AH19" s="43"/>
      <c r="AI19" s="42"/>
      <c r="AJ19" s="43"/>
      <c r="AK19" s="42"/>
      <c r="AL19" s="42"/>
      <c r="AM19" s="42"/>
      <c r="AN19" s="42"/>
      <c r="AP19" s="121"/>
      <c r="AT19" s="133"/>
    </row>
    <row r="20" spans="1:46" ht="15" customHeight="1" thickTop="1" x14ac:dyDescent="0.3">
      <c r="A20" s="1"/>
      <c r="B20" s="342" t="str">
        <f>"GHG Report Summary for the Year "&amp;F3</f>
        <v>GHG Report Summary for the Year 2025</v>
      </c>
      <c r="C20" s="343"/>
      <c r="D20" s="344"/>
      <c r="E20" s="134"/>
      <c r="F20" s="135"/>
      <c r="G20" s="135"/>
      <c r="H20" s="135"/>
      <c r="I20" s="135"/>
      <c r="J20" s="136"/>
      <c r="K20" s="342" t="str">
        <f>"tonnes CO₂eq Comparison"&amp;IFERROR(IF(M21+N21=0,"",": "&amp;M21&amp;" v/s "&amp;N21),"")</f>
        <v>tonnes CO₂eq Comparison: 2025 v/s 2024</v>
      </c>
      <c r="L20" s="343"/>
      <c r="M20" s="343"/>
      <c r="N20" s="344"/>
      <c r="O20" s="1"/>
      <c r="P20" s="112" t="s">
        <v>92</v>
      </c>
      <c r="Q20" s="113" t="s">
        <v>48</v>
      </c>
      <c r="R20" s="137">
        <f>IFERROR((K17*R12+M17*R13)/(K17+M17),R12)</f>
        <v>0.82359550561797756</v>
      </c>
      <c r="S20" s="115"/>
      <c r="T20" s="116" t="str">
        <f>IFERROR(H15*AB9/(H15*T9),"")</f>
        <v/>
      </c>
      <c r="U20" s="116" t="str">
        <f>IFERROR(H15*AC9/(H15*T9),"")</f>
        <v/>
      </c>
      <c r="V20" s="116" t="str">
        <f>IFERROR(H15*AD9/(H15*T9),"")</f>
        <v/>
      </c>
      <c r="W20" s="117"/>
      <c r="Y20" s="138"/>
      <c r="Z20" s="139"/>
      <c r="AA20" s="130">
        <f>SUM(AA17:AA19)</f>
        <v>0</v>
      </c>
      <c r="AB20" s="139"/>
      <c r="AC20" s="140"/>
      <c r="AD20" s="140"/>
      <c r="AF20" s="35"/>
      <c r="AG20" s="42"/>
      <c r="AH20" s="43"/>
      <c r="AI20" s="42"/>
      <c r="AJ20" s="43"/>
      <c r="AK20" s="42"/>
      <c r="AL20" s="42"/>
      <c r="AM20" s="42"/>
      <c r="AN20" s="42"/>
    </row>
    <row r="21" spans="1:46" ht="15" customHeight="1" x14ac:dyDescent="0.3">
      <c r="A21" s="1"/>
      <c r="B21" s="141"/>
      <c r="C21" s="142" t="s">
        <v>121</v>
      </c>
      <c r="D21" s="143" t="s">
        <v>122</v>
      </c>
      <c r="E21" s="144"/>
      <c r="F21" s="145"/>
      <c r="G21" s="145"/>
      <c r="H21" s="146"/>
      <c r="I21" s="146"/>
      <c r="J21" s="147"/>
      <c r="K21" s="148"/>
      <c r="L21" s="149"/>
      <c r="M21" s="150">
        <f>IF(F3="","Reported Year",F3)</f>
        <v>2025</v>
      </c>
      <c r="N21" s="151">
        <f>IF(F3="","Previous Year",F3-1)</f>
        <v>2024</v>
      </c>
      <c r="O21" s="1"/>
      <c r="P21" s="112" t="s">
        <v>123</v>
      </c>
      <c r="Q21" s="113" t="s">
        <v>39</v>
      </c>
      <c r="R21" s="124" t="e">
        <f>IFERROR(1000*((J14*R8+K14*R9+M14*R10)/(J14*T8+K14*T9+M14*T10)),R19)</f>
        <v>#DIV/0!</v>
      </c>
      <c r="S21" s="115" t="str">
        <f>IFERROR(1000*N14/(J14*T8+K14*T9+M14*T10),C26)</f>
        <v>-</v>
      </c>
      <c r="T21" s="116" t="str">
        <f>IFERROR((J14*AB8+K14*AB9+M14*AB10)/(J14*T8+K14*T9+M14*T10),"")</f>
        <v/>
      </c>
      <c r="U21" s="116" t="str">
        <f>IFERROR((J14*AC8+K14*AC9+M14*AC10)/(J14*T8+K14*T9+M14*T10),"")</f>
        <v/>
      </c>
      <c r="V21" s="116" t="str">
        <f>IFERROR((J14*AD8+K14*AD9+M14*AD10)/(J14*T8+K14*T9+M14*T10),"")</f>
        <v/>
      </c>
      <c r="W21" s="117" t="e">
        <f>(T21*$AB$4+U21*$AC$4+V21*$AD$4)-S21</f>
        <v>#VALUE!</v>
      </c>
      <c r="Y21" s="91" t="s">
        <v>124</v>
      </c>
      <c r="Z21" s="139"/>
      <c r="AA21" s="139"/>
      <c r="AB21" s="139"/>
      <c r="AC21" s="140"/>
      <c r="AD21" s="140"/>
      <c r="AF21" s="35"/>
      <c r="AG21" s="42"/>
      <c r="AH21" s="43"/>
      <c r="AI21" s="42"/>
      <c r="AJ21" s="43"/>
      <c r="AK21" s="42"/>
      <c r="AL21" s="42"/>
      <c r="AM21" s="42"/>
      <c r="AN21" s="42"/>
    </row>
    <row r="22" spans="1:46" s="168" customFormat="1" ht="15" customHeight="1" x14ac:dyDescent="0.3">
      <c r="A22" s="152"/>
      <c r="B22" s="153" t="s">
        <v>125</v>
      </c>
      <c r="C22" s="154">
        <f>AB38</f>
        <v>0</v>
      </c>
      <c r="D22" s="155">
        <f>IFERROR(SUM(P30:P1006),"")</f>
        <v>0</v>
      </c>
      <c r="E22" s="156"/>
      <c r="F22" s="157" t="str">
        <f>X16</f>
        <v>Emission Breakdown</v>
      </c>
      <c r="G22" s="157"/>
      <c r="H22" s="158"/>
      <c r="I22" s="158"/>
      <c r="J22" s="159"/>
      <c r="K22" s="345" t="s">
        <v>126</v>
      </c>
      <c r="L22" s="346"/>
      <c r="M22" s="160" t="str">
        <f>IFERROR(IF(OR(N17="",G17=""),"N/A",N17/(G17)),"N/A")</f>
        <v>N/A</v>
      </c>
      <c r="N22" s="161" t="str">
        <f>IFERROR(IF(OR(C17="",F17=""),"N/A",C17/(F17)),"N/A")</f>
        <v>N/A</v>
      </c>
      <c r="O22" s="1"/>
      <c r="P22" s="112" t="s">
        <v>127</v>
      </c>
      <c r="Q22" s="113" t="s">
        <v>39</v>
      </c>
      <c r="R22" s="124" t="e">
        <f>IFERROR(1000*H17*R11/(H17*T11),R18)</f>
        <v>#DIV/0!</v>
      </c>
      <c r="S22" s="115" t="str">
        <f>IFERROR(J17/((H17*T11/1000)),C26)</f>
        <v>-</v>
      </c>
      <c r="T22" s="116" t="str">
        <f>IFERROR(H17*AB11/(H17*T11),"")</f>
        <v/>
      </c>
      <c r="U22" s="116" t="str">
        <f>IFERROR(H17*AC11/(H17*T11),"")</f>
        <v/>
      </c>
      <c r="V22" s="116" t="str">
        <f>IFERROR(H17*AD11/(H17*T11),"")</f>
        <v/>
      </c>
      <c r="W22" s="117" t="e">
        <f>(T22*$AB$4+U22*$AC$4+V22*$AD$4)-S22</f>
        <v>#VALUE!</v>
      </c>
      <c r="X22" s="162" t="s">
        <v>43</v>
      </c>
      <c r="Y22" s="163">
        <f>I5*R5</f>
        <v>0</v>
      </c>
      <c r="Z22" s="164">
        <f>I5</f>
        <v>0</v>
      </c>
      <c r="AA22" s="165">
        <f>J5</f>
        <v>0</v>
      </c>
      <c r="AB22" s="165">
        <f t="shared" ref="AB22:AD23" si="5">$Z22*AB5/1000</f>
        <v>0</v>
      </c>
      <c r="AC22" s="166">
        <f t="shared" si="5"/>
        <v>0</v>
      </c>
      <c r="AD22" s="167">
        <f t="shared" si="5"/>
        <v>0</v>
      </c>
      <c r="AE22" s="9"/>
      <c r="AF22" s="35"/>
      <c r="AG22" s="42"/>
      <c r="AH22" s="43"/>
      <c r="AI22" s="42"/>
      <c r="AJ22" s="43"/>
      <c r="AK22" s="42"/>
      <c r="AL22" s="42"/>
      <c r="AM22" s="42"/>
      <c r="AN22" s="42"/>
      <c r="AP22" s="12"/>
      <c r="AQ22" s="11"/>
      <c r="AR22" s="11"/>
      <c r="AS22" s="11"/>
      <c r="AT22" s="11"/>
    </row>
    <row r="23" spans="1:46" ht="15" customHeight="1" x14ac:dyDescent="0.3">
      <c r="A23" s="1"/>
      <c r="B23" s="153" t="s">
        <v>128</v>
      </c>
      <c r="C23" s="169">
        <f>AC38</f>
        <v>0</v>
      </c>
      <c r="D23" s="170">
        <f>IFERROR(SUM(Q30:Q1006),"")</f>
        <v>0</v>
      </c>
      <c r="E23" s="144"/>
      <c r="F23" s="171" t="str">
        <f>Y17</f>
        <v>Purchased Electricity</v>
      </c>
      <c r="G23" s="172" t="e">
        <f>AA17/$AA$20</f>
        <v>#DIV/0!</v>
      </c>
      <c r="H23" s="146"/>
      <c r="I23" s="146"/>
      <c r="J23" s="159"/>
      <c r="K23" s="345" t="s">
        <v>129</v>
      </c>
      <c r="L23" s="346"/>
      <c r="M23" s="160" t="str">
        <f>IFERROR(IF(OR(C25="",G16=""),"N/A",C25/(G16)),"N/A")</f>
        <v>N/A</v>
      </c>
      <c r="N23" s="173" t="str">
        <f>IFERROR(IF(OR(C15="",F16=""),"N/A",C15/(F16)),"N/A")</f>
        <v>N/A</v>
      </c>
      <c r="O23" s="1"/>
      <c r="P23" s="174"/>
      <c r="Q23" s="175"/>
      <c r="R23" s="176"/>
      <c r="S23" s="177"/>
      <c r="T23" s="178"/>
      <c r="U23" s="178"/>
      <c r="V23" s="178"/>
      <c r="X23" s="119" t="s">
        <v>52</v>
      </c>
      <c r="Y23" s="179">
        <f>I6*R6</f>
        <v>0</v>
      </c>
      <c r="Z23" s="180">
        <f>I6</f>
        <v>0</v>
      </c>
      <c r="AA23" s="181">
        <f>J6</f>
        <v>0</v>
      </c>
      <c r="AB23" s="181">
        <f t="shared" si="5"/>
        <v>0</v>
      </c>
      <c r="AC23" s="182">
        <f t="shared" si="5"/>
        <v>0</v>
      </c>
      <c r="AD23" s="183">
        <f t="shared" si="5"/>
        <v>0</v>
      </c>
      <c r="AF23" s="35"/>
      <c r="AG23" s="42"/>
      <c r="AH23" s="43"/>
      <c r="AI23" s="42"/>
      <c r="AJ23" s="43"/>
      <c r="AK23" s="42"/>
      <c r="AL23" s="42"/>
      <c r="AM23" s="42"/>
      <c r="AN23" s="42"/>
    </row>
    <row r="24" spans="1:46" ht="15" customHeight="1" x14ac:dyDescent="0.3">
      <c r="A24" s="1"/>
      <c r="B24" s="153" t="s">
        <v>130</v>
      </c>
      <c r="C24" s="169">
        <f>AD38</f>
        <v>0</v>
      </c>
      <c r="D24" s="170">
        <f>IFERROR(SUM(R30:R1006),"")</f>
        <v>0</v>
      </c>
      <c r="E24" s="144"/>
      <c r="F24" s="171" t="str">
        <f>Y18</f>
        <v>Energy Production (excl Cooking)</v>
      </c>
      <c r="G24" s="172" t="e">
        <f t="shared" ref="G24:G25" si="6">AA18/$AA$20</f>
        <v>#DIV/0!</v>
      </c>
      <c r="H24" s="146"/>
      <c r="I24" s="146"/>
      <c r="J24" s="159"/>
      <c r="K24" s="345" t="s">
        <v>131</v>
      </c>
      <c r="L24" s="346"/>
      <c r="M24" s="160" t="str">
        <f>IFERROR(IF(OR(D25="",G16=""),"N/A",D25/(G16)),"N/A")</f>
        <v>N/A</v>
      </c>
      <c r="N24" s="173" t="str">
        <f>IFERROR(IF(OR(C16="",F16=""),"N/A",C16/(F16)),"N/A")</f>
        <v>N/A</v>
      </c>
      <c r="O24" s="1"/>
      <c r="R24" s="184"/>
      <c r="S24" s="82"/>
      <c r="V24" s="185"/>
      <c r="X24" s="119" t="s">
        <v>44</v>
      </c>
      <c r="Y24" s="179">
        <f>Z24*R6</f>
        <v>0</v>
      </c>
      <c r="Z24" s="180">
        <f>L5*M5*220*0.8*10^-3*0.8</f>
        <v>0</v>
      </c>
      <c r="AA24" s="181">
        <f>N5</f>
        <v>0</v>
      </c>
      <c r="AB24" s="181">
        <f>$Z24*AB6/1000</f>
        <v>0</v>
      </c>
      <c r="AC24" s="182">
        <f>$Z24*AC6/1000</f>
        <v>0</v>
      </c>
      <c r="AD24" s="183">
        <f>$Z24*AD6/1000</f>
        <v>0</v>
      </c>
      <c r="AF24" s="35"/>
      <c r="AG24" s="42"/>
      <c r="AH24" s="43"/>
      <c r="AI24" s="42"/>
      <c r="AJ24" s="43"/>
      <c r="AK24" s="42"/>
      <c r="AL24" s="42"/>
      <c r="AM24" s="42"/>
      <c r="AN24" s="42"/>
      <c r="AS24" s="186"/>
    </row>
    <row r="25" spans="1:46" ht="15" customHeight="1" thickBot="1" x14ac:dyDescent="0.35">
      <c r="A25" s="1"/>
      <c r="B25" s="153" t="s">
        <v>132</v>
      </c>
      <c r="C25" s="187">
        <f>C22*$AB$4+C23*$AC$4+C24*$AD$4</f>
        <v>0</v>
      </c>
      <c r="D25" s="188">
        <f>D22*$AB$4+D23*$AC$4+D24*$AD$4</f>
        <v>0</v>
      </c>
      <c r="E25" s="144"/>
      <c r="F25" s="171" t="str">
        <f>Y19</f>
        <v>Transport</v>
      </c>
      <c r="G25" s="172" t="e">
        <f t="shared" si="6"/>
        <v>#DIV/0!</v>
      </c>
      <c r="H25" s="146"/>
      <c r="I25" s="146"/>
      <c r="J25" s="159"/>
      <c r="K25" s="345" t="s">
        <v>133</v>
      </c>
      <c r="L25" s="346"/>
      <c r="M25" s="160" t="str">
        <f>IFERROR(IF(OR(C25="",G15=""),"N/A",C25/(G15)),"N/A")</f>
        <v>N/A</v>
      </c>
      <c r="N25" s="173" t="str">
        <f>IFERROR(IF(OR(C15="",F15=""),"N/A",C15/(F15)),"N/A")</f>
        <v>N/A</v>
      </c>
      <c r="O25" s="1"/>
      <c r="R25" s="184"/>
      <c r="S25" s="189"/>
      <c r="X25" s="119" t="s">
        <v>53</v>
      </c>
      <c r="Y25" s="179">
        <f>Z25*R6</f>
        <v>0</v>
      </c>
      <c r="Z25" s="180">
        <f>L6*M6*380*1.73*0.8*10^-3*0.8</f>
        <v>0</v>
      </c>
      <c r="AA25" s="181">
        <f>N6</f>
        <v>0</v>
      </c>
      <c r="AB25" s="181">
        <f>$Z25*AB6/1000</f>
        <v>0</v>
      </c>
      <c r="AC25" s="182">
        <f>$Z25*AC6/1000</f>
        <v>0</v>
      </c>
      <c r="AD25" s="183">
        <f>$Z25*AD6/1000</f>
        <v>0</v>
      </c>
      <c r="AF25" s="35"/>
      <c r="AG25" s="42"/>
      <c r="AH25" s="43"/>
      <c r="AI25" s="42"/>
      <c r="AJ25" s="43"/>
      <c r="AK25" s="42"/>
      <c r="AL25" s="42"/>
      <c r="AM25" s="42"/>
      <c r="AN25" s="42"/>
      <c r="AP25" s="10"/>
      <c r="AS25" s="186"/>
    </row>
    <row r="26" spans="1:46" ht="15" customHeight="1" thickTop="1" thickBot="1" x14ac:dyDescent="0.35">
      <c r="A26" s="1"/>
      <c r="B26" s="190" t="s">
        <v>134</v>
      </c>
      <c r="C26" s="191" t="str">
        <f>IF(IFERROR(1000*(SUM(J5:J7,N5:N6,N11:N14)/SUM(Z17:Z19)),"-")&lt;0,"",IFERROR(1000*(C25-N17-J17)/SUM(Z17:Z19),"-"))</f>
        <v>-</v>
      </c>
      <c r="D26" s="192"/>
      <c r="E26" s="193"/>
      <c r="F26" s="193"/>
      <c r="G26" s="193"/>
      <c r="H26" s="193"/>
      <c r="I26" s="193"/>
      <c r="J26" s="194"/>
      <c r="K26" s="347" t="s">
        <v>135</v>
      </c>
      <c r="L26" s="348"/>
      <c r="M26" s="195" t="str">
        <f>IFERROR(IF(OR(D25="",G15=""),"N/A",D25/(G15)),"N/A")</f>
        <v>N/A</v>
      </c>
      <c r="N26" s="196" t="str">
        <f>IFERROR(IF(OR(C16="",F15=""),"N/A",C16/(F15)),"N/A")</f>
        <v>N/A</v>
      </c>
      <c r="O26" s="1"/>
      <c r="R26" s="184"/>
      <c r="V26" s="185"/>
      <c r="X26" s="119" t="s">
        <v>136</v>
      </c>
      <c r="Y26" s="179">
        <f>J11*R8</f>
        <v>0</v>
      </c>
      <c r="Z26" s="180">
        <f>J11*T8</f>
        <v>0</v>
      </c>
      <c r="AA26" s="330">
        <f>N11</f>
        <v>0</v>
      </c>
      <c r="AB26" s="181">
        <f>$J11*AB8/1000</f>
        <v>0</v>
      </c>
      <c r="AC26" s="182">
        <f>$J11*AC8/1000</f>
        <v>0</v>
      </c>
      <c r="AD26" s="183">
        <f>$J11*AD8/1000</f>
        <v>0</v>
      </c>
      <c r="AF26" s="35"/>
      <c r="AG26" s="42"/>
      <c r="AH26" s="43"/>
      <c r="AI26" s="42"/>
      <c r="AJ26" s="43"/>
      <c r="AK26" s="42"/>
      <c r="AL26" s="42"/>
      <c r="AM26" s="42"/>
      <c r="AN26" s="42"/>
      <c r="AS26" s="198"/>
    </row>
    <row r="27" spans="1:46" ht="15" customHeight="1" thickTop="1" thickBot="1" x14ac:dyDescent="0.35">
      <c r="A27" s="1"/>
      <c r="B27" s="1"/>
      <c r="C27" s="199"/>
      <c r="D27" s="68"/>
      <c r="E27" s="68"/>
      <c r="F27" s="1"/>
      <c r="G27" s="1"/>
      <c r="H27" s="1"/>
      <c r="I27" s="1"/>
      <c r="J27" s="1"/>
      <c r="K27" s="1"/>
      <c r="L27" s="1"/>
      <c r="M27" s="1"/>
      <c r="N27" s="1"/>
      <c r="O27" s="1"/>
      <c r="R27" s="200"/>
      <c r="X27" s="119" t="s">
        <v>137</v>
      </c>
      <c r="Y27" s="179">
        <f>K11*R9</f>
        <v>0</v>
      </c>
      <c r="Z27" s="180">
        <f>K11*T9</f>
        <v>0</v>
      </c>
      <c r="AA27" s="331"/>
      <c r="AB27" s="181">
        <f>$K11*AB9/1000</f>
        <v>0</v>
      </c>
      <c r="AC27" s="182">
        <f>$K11*AC9/1000</f>
        <v>0</v>
      </c>
      <c r="AD27" s="183">
        <f>$K11*AD9/1000</f>
        <v>0</v>
      </c>
      <c r="AF27" s="35"/>
      <c r="AG27" s="42"/>
      <c r="AH27" s="43"/>
      <c r="AI27" s="42"/>
      <c r="AJ27" s="43"/>
      <c r="AK27" s="42"/>
      <c r="AL27" s="42"/>
      <c r="AM27" s="42"/>
      <c r="AN27" s="42"/>
      <c r="AS27" s="186"/>
    </row>
    <row r="28" spans="1:46" ht="24" customHeight="1" thickTop="1" thickBot="1" x14ac:dyDescent="0.35">
      <c r="A28" s="1"/>
      <c r="B28" s="333" t="s">
        <v>138</v>
      </c>
      <c r="C28" s="334"/>
      <c r="D28" s="334"/>
      <c r="E28" s="334"/>
      <c r="F28" s="334"/>
      <c r="G28" s="334"/>
      <c r="H28" s="334"/>
      <c r="I28" s="334"/>
      <c r="J28" s="334"/>
      <c r="K28" s="334"/>
      <c r="L28" s="334"/>
      <c r="M28" s="334"/>
      <c r="N28" s="201" t="s">
        <v>1</v>
      </c>
      <c r="O28" s="1"/>
      <c r="P28" s="202"/>
      <c r="Q28" s="202"/>
      <c r="R28" s="202"/>
      <c r="X28" s="203" t="s">
        <v>139</v>
      </c>
      <c r="Y28" s="204">
        <f>M11*R10</f>
        <v>0</v>
      </c>
      <c r="Z28" s="205">
        <f>M11*T10</f>
        <v>0</v>
      </c>
      <c r="AA28" s="332"/>
      <c r="AB28" s="206">
        <f>$M11*AB10/1000</f>
        <v>0</v>
      </c>
      <c r="AC28" s="207">
        <f>$M11*AC10/1000</f>
        <v>0</v>
      </c>
      <c r="AD28" s="208">
        <f>$M11*AD10/1000</f>
        <v>0</v>
      </c>
      <c r="AF28" s="35"/>
      <c r="AG28" s="42"/>
      <c r="AH28" s="43"/>
      <c r="AI28" s="42"/>
      <c r="AJ28" s="43"/>
      <c r="AK28" s="42"/>
      <c r="AL28" s="42"/>
      <c r="AM28" s="42"/>
      <c r="AN28" s="42"/>
    </row>
    <row r="29" spans="1:46" ht="15" customHeight="1" thickTop="1" x14ac:dyDescent="0.3">
      <c r="A29" s="1"/>
      <c r="B29" s="209" t="s">
        <v>140</v>
      </c>
      <c r="C29" s="350" t="s">
        <v>141</v>
      </c>
      <c r="D29" s="350"/>
      <c r="E29" s="210" t="s">
        <v>142</v>
      </c>
      <c r="F29" s="210" t="s">
        <v>26</v>
      </c>
      <c r="G29" s="210" t="s">
        <v>11</v>
      </c>
      <c r="H29" s="211" t="s">
        <v>143</v>
      </c>
      <c r="I29" s="211" t="s">
        <v>144</v>
      </c>
      <c r="J29" s="211" t="s">
        <v>145</v>
      </c>
      <c r="K29" s="211" t="s">
        <v>146</v>
      </c>
      <c r="L29" s="211" t="s">
        <v>147</v>
      </c>
      <c r="M29" s="211" t="s">
        <v>148</v>
      </c>
      <c r="N29" s="212" t="s">
        <v>149</v>
      </c>
      <c r="O29" s="213"/>
      <c r="P29" s="211" t="s">
        <v>111</v>
      </c>
      <c r="Q29" s="211" t="s">
        <v>112</v>
      </c>
      <c r="R29" s="211" t="s">
        <v>113</v>
      </c>
      <c r="X29" s="101" t="s">
        <v>150</v>
      </c>
      <c r="Y29" s="214">
        <f>SUM(J12:J13)*R8</f>
        <v>0</v>
      </c>
      <c r="Z29" s="215">
        <f>SUM(J12:J13)*T8</f>
        <v>0</v>
      </c>
      <c r="AA29" s="351">
        <f>N12+N13</f>
        <v>0</v>
      </c>
      <c r="AB29" s="216">
        <f>SUM($J12:$J13)*AB8/1000</f>
        <v>0</v>
      </c>
      <c r="AC29" s="217">
        <f>SUM($J12:$J13)*AC8/1000</f>
        <v>0</v>
      </c>
      <c r="AD29" s="218">
        <f>SUM($J12:$J13)*AD8/1000</f>
        <v>0</v>
      </c>
      <c r="AF29" s="35"/>
      <c r="AG29" s="42"/>
      <c r="AH29" s="43"/>
      <c r="AI29" s="42"/>
      <c r="AJ29" s="43"/>
      <c r="AK29" s="42"/>
      <c r="AL29" s="42"/>
      <c r="AM29" s="42"/>
      <c r="AN29" s="42"/>
    </row>
    <row r="30" spans="1:46" ht="20.100000000000001" customHeight="1" x14ac:dyDescent="0.3">
      <c r="A30" s="1"/>
      <c r="B30" s="219" t="s">
        <v>37</v>
      </c>
      <c r="C30" s="349"/>
      <c r="D30" s="349"/>
      <c r="E30" s="364" t="str">
        <f t="shared" ref="E30:E46" si="7">IFERROR(VLOOKUP(B30,$AF$1:$AJ$33,5,FALSE),"")</f>
        <v>Electricity</v>
      </c>
      <c r="F30" s="221"/>
      <c r="G30" s="364" t="str">
        <f>IFERROR(VLOOKUP(B30,$AF$1:$AJ$33,2,FALSE),"")</f>
        <v>kWp</v>
      </c>
      <c r="H30" s="222"/>
      <c r="I30" s="220"/>
      <c r="J30" s="367">
        <f>IFERROR(IF(E30="Transport","N/A",VLOOKUP(B30,$AF$1:$AJ$33,3,FALSE)*F30),"")</f>
        <v>0</v>
      </c>
      <c r="K30" s="364" t="str">
        <f>IFERROR(IF(E30="Transport","N/A",VLOOKUP(B30,$AF$1:$AJ$33,4,FALSE)),IFERROR(VLOOKUP(E30,$P$17:$V$23,2,FALSE),""))</f>
        <v>MWh</v>
      </c>
      <c r="L30" s="366" t="str">
        <f>IFERROR(IF(E30="Transport","N/A",J30*VLOOKUP(E30,$P$17:$V$23,3,FALSE)),"")</f>
        <v/>
      </c>
      <c r="M30" s="368" t="str">
        <f>IFERROR(IF(J30="N/A","N/A",H30/L30),"")</f>
        <v/>
      </c>
      <c r="N30" s="369" t="str">
        <f>IFERROR(IF(E30="Transport",VLOOKUP(B30,$AF$1:$AJ$33,3,FALSE)*F30,$J30*VLOOKUP($E30,$P$17:$V$23,4,FALSE)),"")</f>
        <v/>
      </c>
      <c r="O30" s="223"/>
      <c r="P30" s="224" t="str">
        <f t="shared" ref="P30:P36" si="8">IFERROR(IF(E30="Transport",N30*T$18/$S$18,$J30*VLOOKUP($E30,$P$17:$V$23,5,FALSE)),"")</f>
        <v/>
      </c>
      <c r="Q30" s="225" t="str">
        <f t="shared" ref="Q30:Q36" si="9">IFERROR(IF(E30="Transport",N30*U$18/$S$18,$J30*VLOOKUP($E30,$P$17:$V$23,6,FALSE)),"")</f>
        <v/>
      </c>
      <c r="R30" s="225" t="str">
        <f t="shared" ref="R30:R36" si="10">IFERROR(IF(E30="Transport",N30*V$18/$S$18,$J30*VLOOKUP($E30,$P$17:$V$23,7,FALSE)),"")</f>
        <v/>
      </c>
      <c r="X30" s="119" t="s">
        <v>151</v>
      </c>
      <c r="Y30" s="214">
        <f>SUM(K12:L13)*R9</f>
        <v>0</v>
      </c>
      <c r="Z30" s="180">
        <f>SUM(K12:L13)*T9</f>
        <v>0</v>
      </c>
      <c r="AA30" s="331"/>
      <c r="AB30" s="181">
        <f>SUM($K12:$L13)*AB9/1000</f>
        <v>0</v>
      </c>
      <c r="AC30" s="182">
        <f>SUM($K12:$L13)*AC9/1000</f>
        <v>0</v>
      </c>
      <c r="AD30" s="183">
        <f>SUM($K12:$L13)*AD9/1000</f>
        <v>0</v>
      </c>
      <c r="AF30" s="35"/>
      <c r="AG30" s="42"/>
      <c r="AH30" s="43"/>
      <c r="AI30" s="42"/>
      <c r="AJ30" s="43"/>
      <c r="AK30" s="42"/>
      <c r="AL30" s="42"/>
      <c r="AM30" s="42"/>
      <c r="AN30" s="42"/>
    </row>
    <row r="31" spans="1:46" ht="20.100000000000001" customHeight="1" x14ac:dyDescent="0.3">
      <c r="A31" s="1"/>
      <c r="B31" s="219" t="s">
        <v>47</v>
      </c>
      <c r="C31" s="349"/>
      <c r="D31" s="349"/>
      <c r="E31" s="364" t="str">
        <f t="shared" si="7"/>
        <v>Water Heating</v>
      </c>
      <c r="F31" s="220"/>
      <c r="G31" s="364" t="str">
        <f t="shared" ref="G31:G46" si="11">IFERROR(VLOOKUP(B31,$AF$1:$AJ$33,2,FALSE),"")</f>
        <v>liters</v>
      </c>
      <c r="H31" s="222"/>
      <c r="I31" s="220"/>
      <c r="J31" s="367">
        <f t="shared" ref="J31:J38" si="12">IFERROR(IF(E31="Transport","N/A",VLOOKUP(B31,$AF$1:$AJ$33,3,FALSE)*F31),"")</f>
        <v>0</v>
      </c>
      <c r="K31" s="364" t="str">
        <f t="shared" ref="K31:K46" si="13">IFERROR(IF(E31="Transport","N/A",VLOOKUP(B31,$AF$1:$AJ$33,4,FALSE)),IFERROR(VLOOKUP(E31,$P$17:$V$23,2,FALSE),""))</f>
        <v>MWh</v>
      </c>
      <c r="L31" s="366" t="str">
        <f t="shared" ref="L31:L46" si="14">IFERROR(IF(E31="Transport","N/A",J31*VLOOKUP(E31,$P$17:$V$23,3,FALSE)),"")</f>
        <v/>
      </c>
      <c r="M31" s="368" t="str">
        <f t="shared" ref="M31:M46" si="15">IFERROR(IF(J31="N/A","N/A",H31/L31),"")</f>
        <v/>
      </c>
      <c r="N31" s="369" t="str">
        <f>IFERROR(IF(E31="Transport",VLOOKUP(B31,$AF$1:$AJ$33,3,FALSE)*F31,$J31*VLOOKUP($E31,$P$17:$V$23,4,FALSE)),"")</f>
        <v/>
      </c>
      <c r="O31" s="223"/>
      <c r="P31" s="224" t="str">
        <f t="shared" si="8"/>
        <v/>
      </c>
      <c r="Q31" s="225" t="str">
        <f t="shared" si="9"/>
        <v/>
      </c>
      <c r="R31" s="225" t="str">
        <f t="shared" si="10"/>
        <v/>
      </c>
      <c r="X31" s="226" t="s">
        <v>152</v>
      </c>
      <c r="Y31" s="227">
        <f>SUM(M12:M13)*R10</f>
        <v>0</v>
      </c>
      <c r="Z31" s="228">
        <f>SUM(M12:M13)*T10</f>
        <v>0</v>
      </c>
      <c r="AA31" s="332"/>
      <c r="AB31" s="197">
        <f>SUM($M12:$M13)*AB10/1000</f>
        <v>0</v>
      </c>
      <c r="AC31" s="229">
        <f>SUM($M12:$M13)*AC10/1000</f>
        <v>0</v>
      </c>
      <c r="AD31" s="230">
        <f>SUM($M12:$M13)*AD10/1000</f>
        <v>0</v>
      </c>
      <c r="AF31" s="35"/>
      <c r="AG31" s="42"/>
      <c r="AH31" s="43"/>
      <c r="AI31" s="42"/>
      <c r="AJ31" s="43"/>
      <c r="AK31" s="42"/>
      <c r="AL31" s="42"/>
      <c r="AM31" s="42"/>
      <c r="AN31" s="42"/>
    </row>
    <row r="32" spans="1:46" ht="20.100000000000001" customHeight="1" x14ac:dyDescent="0.3">
      <c r="A32" s="1"/>
      <c r="B32" s="219" t="s">
        <v>55</v>
      </c>
      <c r="C32" s="349"/>
      <c r="D32" s="349"/>
      <c r="E32" s="364" t="str">
        <f t="shared" si="7"/>
        <v>Electricity</v>
      </c>
      <c r="F32" s="220"/>
      <c r="G32" s="364" t="str">
        <f t="shared" si="11"/>
        <v>kWp</v>
      </c>
      <c r="H32" s="222"/>
      <c r="I32" s="220"/>
      <c r="J32" s="367">
        <f t="shared" si="12"/>
        <v>0</v>
      </c>
      <c r="K32" s="364" t="str">
        <f t="shared" si="13"/>
        <v>MWh</v>
      </c>
      <c r="L32" s="366" t="str">
        <f t="shared" si="14"/>
        <v/>
      </c>
      <c r="M32" s="368" t="str">
        <f t="shared" si="15"/>
        <v/>
      </c>
      <c r="N32" s="369" t="str">
        <f t="shared" ref="N30:N36" si="16">IFERROR(IF(E32="Transport",VLOOKUP(B32,$AF$1:$AJ$33,3,FALSE)*F32,$J32*VLOOKUP($E32,$P$17:$V$23,4,FALSE)),"")</f>
        <v/>
      </c>
      <c r="O32" s="223"/>
      <c r="P32" s="224" t="str">
        <f t="shared" si="8"/>
        <v/>
      </c>
      <c r="Q32" s="225" t="str">
        <f t="shared" si="9"/>
        <v/>
      </c>
      <c r="R32" s="225" t="str">
        <f t="shared" si="10"/>
        <v/>
      </c>
      <c r="X32" s="231" t="s">
        <v>153</v>
      </c>
      <c r="Y32" s="232">
        <f>J14*R8</f>
        <v>0</v>
      </c>
      <c r="Z32" s="233">
        <f>J14*T8</f>
        <v>0</v>
      </c>
      <c r="AA32" s="351">
        <f>N14</f>
        <v>0</v>
      </c>
      <c r="AB32" s="234">
        <f>$J14*AB8/1000</f>
        <v>0</v>
      </c>
      <c r="AC32" s="235">
        <f>$J14*AC8/1000</f>
        <v>0</v>
      </c>
      <c r="AD32" s="236">
        <f>$J14*AD8/1000</f>
        <v>0</v>
      </c>
      <c r="AF32" s="84"/>
      <c r="AG32" s="85"/>
      <c r="AH32" s="86"/>
      <c r="AI32" s="85"/>
      <c r="AJ32" s="86"/>
      <c r="AK32" s="85"/>
      <c r="AL32" s="85"/>
      <c r="AM32" s="85"/>
      <c r="AN32" s="85"/>
      <c r="AP32" s="10"/>
    </row>
    <row r="33" spans="1:42" ht="20.100000000000001" customHeight="1" x14ac:dyDescent="0.3">
      <c r="A33" s="1"/>
      <c r="B33" s="219" t="s">
        <v>59</v>
      </c>
      <c r="C33" s="349"/>
      <c r="D33" s="349"/>
      <c r="E33" s="364" t="str">
        <f t="shared" si="7"/>
        <v>Electricity</v>
      </c>
      <c r="F33" s="220"/>
      <c r="G33" s="364" t="str">
        <f t="shared" si="11"/>
        <v>hp</v>
      </c>
      <c r="H33" s="222"/>
      <c r="I33" s="220"/>
      <c r="J33" s="367">
        <f t="shared" si="12"/>
        <v>0</v>
      </c>
      <c r="K33" s="364" t="str">
        <f t="shared" si="13"/>
        <v>MWh</v>
      </c>
      <c r="L33" s="366" t="str">
        <f t="shared" si="14"/>
        <v/>
      </c>
      <c r="M33" s="368" t="str">
        <f t="shared" si="15"/>
        <v/>
      </c>
      <c r="N33" s="369" t="str">
        <f t="shared" si="16"/>
        <v/>
      </c>
      <c r="O33" s="223"/>
      <c r="P33" s="224" t="str">
        <f t="shared" si="8"/>
        <v/>
      </c>
      <c r="Q33" s="225" t="str">
        <f t="shared" si="9"/>
        <v/>
      </c>
      <c r="R33" s="225" t="str">
        <f t="shared" si="10"/>
        <v/>
      </c>
      <c r="X33" s="119" t="s">
        <v>154</v>
      </c>
      <c r="Y33" s="214">
        <f>K14*R9</f>
        <v>0</v>
      </c>
      <c r="Z33" s="180">
        <f>K14*T9</f>
        <v>0</v>
      </c>
      <c r="AA33" s="331"/>
      <c r="AB33" s="181">
        <f>$K14*AB9/1000</f>
        <v>0</v>
      </c>
      <c r="AC33" s="182">
        <f>$K14*AC9/1000</f>
        <v>0</v>
      </c>
      <c r="AD33" s="183">
        <f>$K14*AD9/1000</f>
        <v>0</v>
      </c>
      <c r="AF33" s="237"/>
      <c r="AG33" s="238"/>
      <c r="AH33" s="239"/>
      <c r="AI33" s="238"/>
      <c r="AJ33" s="239"/>
      <c r="AK33" s="238"/>
      <c r="AL33" s="238"/>
      <c r="AM33" s="238"/>
      <c r="AN33" s="238"/>
      <c r="AP33" s="10"/>
    </row>
    <row r="34" spans="1:42" ht="20.100000000000001" customHeight="1" x14ac:dyDescent="0.3">
      <c r="A34" s="1"/>
      <c r="B34" s="219" t="s">
        <v>69</v>
      </c>
      <c r="C34" s="349"/>
      <c r="D34" s="349"/>
      <c r="E34" s="364" t="str">
        <f t="shared" si="7"/>
        <v>Electricity</v>
      </c>
      <c r="F34" s="220"/>
      <c r="G34" s="364" t="str">
        <f t="shared" si="11"/>
        <v>kW</v>
      </c>
      <c r="H34" s="222"/>
      <c r="I34" s="220"/>
      <c r="J34" s="367">
        <f t="shared" si="12"/>
        <v>0</v>
      </c>
      <c r="K34" s="364" t="str">
        <f t="shared" si="13"/>
        <v>MWh</v>
      </c>
      <c r="L34" s="366" t="str">
        <f t="shared" si="14"/>
        <v/>
      </c>
      <c r="M34" s="368" t="str">
        <f t="shared" si="15"/>
        <v/>
      </c>
      <c r="N34" s="369" t="str">
        <f t="shared" si="16"/>
        <v/>
      </c>
      <c r="O34" s="223"/>
      <c r="P34" s="224" t="str">
        <f t="shared" si="8"/>
        <v/>
      </c>
      <c r="Q34" s="225" t="str">
        <f t="shared" si="9"/>
        <v/>
      </c>
      <c r="R34" s="225" t="str">
        <f t="shared" si="10"/>
        <v/>
      </c>
      <c r="X34" s="203" t="s">
        <v>155</v>
      </c>
      <c r="Y34" s="240">
        <f>M14*R10</f>
        <v>0</v>
      </c>
      <c r="Z34" s="205">
        <f>M14*T10</f>
        <v>0</v>
      </c>
      <c r="AA34" s="332"/>
      <c r="AB34" s="206">
        <f>$M14*AB10/1000</f>
        <v>0</v>
      </c>
      <c r="AC34" s="207">
        <f>$M14*AC10/1000</f>
        <v>0</v>
      </c>
      <c r="AD34" s="208">
        <f>$M14*AD10/1000</f>
        <v>0</v>
      </c>
      <c r="AJ34" s="9"/>
    </row>
    <row r="35" spans="1:42" ht="20.100000000000001" customHeight="1" x14ac:dyDescent="0.3">
      <c r="A35" s="1"/>
      <c r="B35" s="219" t="s">
        <v>77</v>
      </c>
      <c r="C35" s="349"/>
      <c r="D35" s="349"/>
      <c r="E35" s="364" t="str">
        <f t="shared" si="7"/>
        <v>Electricity</v>
      </c>
      <c r="F35" s="220"/>
      <c r="G35" s="364" t="str">
        <f>IFERROR(VLOOKUP(B35,$AF$1:$AJ$33,2,FALSE),"")</f>
        <v>ton</v>
      </c>
      <c r="H35" s="222"/>
      <c r="I35" s="220"/>
      <c r="J35" s="367">
        <f t="shared" si="12"/>
        <v>0</v>
      </c>
      <c r="K35" s="364" t="str">
        <f t="shared" si="13"/>
        <v>MWh</v>
      </c>
      <c r="L35" s="366" t="str">
        <f t="shared" si="14"/>
        <v/>
      </c>
      <c r="M35" s="368" t="str">
        <f>IFERROR(IF(J35="N/A","N/A",H35/L35),"")</f>
        <v/>
      </c>
      <c r="N35" s="369" t="str">
        <f t="shared" si="16"/>
        <v/>
      </c>
      <c r="O35" s="223"/>
      <c r="P35" s="224" t="str">
        <f t="shared" si="8"/>
        <v/>
      </c>
      <c r="Q35" s="225" t="str">
        <f t="shared" si="9"/>
        <v/>
      </c>
      <c r="R35" s="225" t="str">
        <f t="shared" si="10"/>
        <v/>
      </c>
      <c r="X35" s="241" t="s">
        <v>127</v>
      </c>
      <c r="Y35" s="242">
        <f>H17*R11</f>
        <v>0</v>
      </c>
      <c r="Z35" s="243">
        <f>H17*T11</f>
        <v>0</v>
      </c>
      <c r="AA35" s="244">
        <f>J17</f>
        <v>0</v>
      </c>
      <c r="AB35" s="244">
        <f>$H17*AB11/1000</f>
        <v>0</v>
      </c>
      <c r="AC35" s="245">
        <f>$H17*AC11/1000</f>
        <v>0</v>
      </c>
      <c r="AD35" s="246">
        <f>$H17*AD11/1000</f>
        <v>0</v>
      </c>
      <c r="AE35" s="6"/>
      <c r="AF35" s="6"/>
      <c r="AG35" s="6"/>
      <c r="AH35" s="6"/>
      <c r="AI35" s="6"/>
      <c r="AJ35" s="6"/>
      <c r="AK35" s="6"/>
      <c r="AL35" s="6"/>
      <c r="AM35" s="6"/>
      <c r="AN35" s="6"/>
    </row>
    <row r="36" spans="1:42" ht="20.100000000000001" customHeight="1" x14ac:dyDescent="0.3">
      <c r="A36" s="1"/>
      <c r="B36" s="219" t="s">
        <v>84</v>
      </c>
      <c r="C36" s="349"/>
      <c r="D36" s="349"/>
      <c r="E36" s="364" t="str">
        <f t="shared" si="7"/>
        <v>Electricity</v>
      </c>
      <c r="F36" s="220"/>
      <c r="G36" s="364" t="str">
        <f t="shared" si="11"/>
        <v>hp</v>
      </c>
      <c r="H36" s="222"/>
      <c r="I36" s="220"/>
      <c r="J36" s="367">
        <f t="shared" si="12"/>
        <v>0</v>
      </c>
      <c r="K36" s="364" t="str">
        <f t="shared" si="13"/>
        <v>MWh</v>
      </c>
      <c r="L36" s="366" t="str">
        <f t="shared" si="14"/>
        <v/>
      </c>
      <c r="M36" s="368" t="str">
        <f>IFERROR(IF(J36="N/A","N/A",H36/L36),"")</f>
        <v/>
      </c>
      <c r="N36" s="369" t="str">
        <f t="shared" si="16"/>
        <v/>
      </c>
      <c r="O36" s="223"/>
      <c r="P36" s="224" t="str">
        <f t="shared" si="8"/>
        <v/>
      </c>
      <c r="Q36" s="225" t="str">
        <f t="shared" si="9"/>
        <v/>
      </c>
      <c r="R36" s="225" t="str">
        <f t="shared" si="10"/>
        <v/>
      </c>
      <c r="X36" s="101" t="str">
        <f>K16</f>
        <v>Gasoline (liters)</v>
      </c>
      <c r="Y36" s="214">
        <f>K17*R12</f>
        <v>0</v>
      </c>
      <c r="Z36" s="215"/>
      <c r="AA36" s="351">
        <f>N17</f>
        <v>0</v>
      </c>
      <c r="AB36" s="216">
        <f>$K17*AB12</f>
        <v>0</v>
      </c>
      <c r="AC36" s="216">
        <f>$K17*AC12</f>
        <v>0</v>
      </c>
      <c r="AD36" s="216">
        <f>$K17*AD12</f>
        <v>0</v>
      </c>
      <c r="AE36" s="6"/>
      <c r="AF36" s="6"/>
      <c r="AG36" s="6"/>
      <c r="AH36" s="6"/>
      <c r="AI36" s="6"/>
      <c r="AJ36" s="247"/>
      <c r="AK36" s="6"/>
      <c r="AL36" s="6"/>
      <c r="AM36" s="6"/>
      <c r="AN36" s="6"/>
      <c r="AP36" s="10"/>
    </row>
    <row r="37" spans="1:42" ht="20.100000000000001" customHeight="1" x14ac:dyDescent="0.3">
      <c r="A37" s="1"/>
      <c r="B37" s="219" t="s">
        <v>89</v>
      </c>
      <c r="C37" s="349"/>
      <c r="D37" s="349"/>
      <c r="E37" s="364" t="str">
        <f t="shared" si="7"/>
        <v>Transport</v>
      </c>
      <c r="F37" s="220"/>
      <c r="G37" s="364" t="str">
        <f t="shared" si="11"/>
        <v>km/year</v>
      </c>
      <c r="H37" s="222"/>
      <c r="I37" s="220"/>
      <c r="J37" s="367" t="str">
        <f t="shared" si="12"/>
        <v>N/A</v>
      </c>
      <c r="K37" s="364" t="str">
        <f t="shared" si="13"/>
        <v>N/A</v>
      </c>
      <c r="L37" s="366" t="str">
        <f t="shared" si="14"/>
        <v>N/A</v>
      </c>
      <c r="M37" s="368" t="str">
        <f>IFERROR(IF(J37="N/A","N/A",H37/L37),"")</f>
        <v>N/A</v>
      </c>
      <c r="N37" s="369">
        <f>IFERROR(IF(E37="Transport",VLOOKUP(B37,$AF$1:$AJ$33,3,FALSE)*F37,$J37*VLOOKUP($E37,$P$17:$V$23,4,FALSE)),"")</f>
        <v>0</v>
      </c>
      <c r="O37" s="223"/>
      <c r="P37" s="248" t="str">
        <f>IFERROR(IF(E37="Transport",N37*T$18/$S$18,$J37*VLOOKUP($E37,$P$17:$V$23,5,FALSE)),"")</f>
        <v/>
      </c>
      <c r="Q37" s="249" t="str">
        <f>IFERROR(IF(E37="Transport",N37*U$18/$S$18,$J37*VLOOKUP($E37,$P$17:$V$23,6,FALSE)),"")</f>
        <v/>
      </c>
      <c r="R37" s="249" t="str">
        <f>IFERROR(IF(E37="Transport",N37*V$18/$S$18,$J37*VLOOKUP($E37,$P$17:$V$23,7,FALSE)),"")</f>
        <v/>
      </c>
      <c r="X37" s="128" t="str">
        <f>M16</f>
        <v>Diesel (liters)</v>
      </c>
      <c r="Y37" s="250">
        <f>M17*R13</f>
        <v>0</v>
      </c>
      <c r="Z37" s="251"/>
      <c r="AA37" s="352"/>
      <c r="AB37" s="130">
        <f>$M17*AB13</f>
        <v>0</v>
      </c>
      <c r="AC37" s="130">
        <f>$M17*AC13</f>
        <v>0</v>
      </c>
      <c r="AD37" s="130">
        <f>$M17*AD13</f>
        <v>0</v>
      </c>
      <c r="AE37" s="6"/>
      <c r="AF37" s="6"/>
      <c r="AG37" s="6"/>
      <c r="AH37" s="6"/>
      <c r="AI37" s="6"/>
      <c r="AJ37" s="247"/>
      <c r="AK37" s="6"/>
      <c r="AL37" s="6"/>
      <c r="AM37" s="6"/>
      <c r="AN37" s="6"/>
      <c r="AP37" s="10"/>
    </row>
    <row r="38" spans="1:42" ht="20.100000000000001" customHeight="1" x14ac:dyDescent="0.3">
      <c r="A38" s="1"/>
      <c r="B38" s="219" t="s">
        <v>96</v>
      </c>
      <c r="C38" s="349"/>
      <c r="D38" s="349"/>
      <c r="E38" s="364" t="s">
        <v>92</v>
      </c>
      <c r="F38" s="220"/>
      <c r="G38" s="364" t="str">
        <f t="shared" si="11"/>
        <v>km/year</v>
      </c>
      <c r="H38" s="222"/>
      <c r="I38" s="220"/>
      <c r="J38" s="367" t="str">
        <f t="shared" si="12"/>
        <v>N/A</v>
      </c>
      <c r="K38" s="364" t="str">
        <f t="shared" si="13"/>
        <v>N/A</v>
      </c>
      <c r="L38" s="366" t="str">
        <f>IFERROR(IF(E38="Transport","N/A",J38*VLOOKUP(E38,$P$17:$V$23,3,FALSE)),"")</f>
        <v>N/A</v>
      </c>
      <c r="M38" s="368" t="str">
        <f t="shared" si="15"/>
        <v>N/A</v>
      </c>
      <c r="N38" s="369">
        <f>IFERROR(IF(E38="Transport",VLOOKUP(B38,$AF$1:$AJ$33,3,FALSE)*F38,$J38*VLOOKUP($E38,$P$17:$V$23,4,FALSE)),"")</f>
        <v>0</v>
      </c>
      <c r="O38" s="223"/>
      <c r="P38" s="248" t="str">
        <f t="shared" ref="P38:P46" si="17">IFERROR(IF(E38="Transport",N38*T$18/$S$18,$J38*VLOOKUP($E38,$P$17:$V$23,5,FALSE)),"")</f>
        <v/>
      </c>
      <c r="Q38" s="249" t="str">
        <f t="shared" ref="Q38:Q46" si="18">IFERROR(IF(E38="Transport",N38*U$18/$S$18,$J38*VLOOKUP($E38,$P$17:$V$23,6,FALSE)),"")</f>
        <v/>
      </c>
      <c r="R38" s="249" t="str">
        <f t="shared" ref="R38:R46" si="19">IFERROR(IF(E38="Transport",N38*V$18/$S$18,$J38*VLOOKUP($E38,$P$17:$V$23,7,FALSE)),"")</f>
        <v/>
      </c>
      <c r="X38" s="128" t="s">
        <v>179</v>
      </c>
      <c r="Y38" s="252"/>
      <c r="Z38" s="252"/>
      <c r="AA38" s="253">
        <f>SUM(AA22:AA37)</f>
        <v>0</v>
      </c>
      <c r="AB38" s="253">
        <f>SUM(AB22:AB37)</f>
        <v>0</v>
      </c>
      <c r="AC38" s="253">
        <f>SUM(AC22:AC37)</f>
        <v>0</v>
      </c>
      <c r="AD38" s="253">
        <f>SUM(AD22:AD37)</f>
        <v>0</v>
      </c>
      <c r="AE38" s="6"/>
      <c r="AF38" s="6"/>
      <c r="AG38" s="6"/>
      <c r="AH38" s="6"/>
      <c r="AI38" s="6"/>
      <c r="AJ38" s="247"/>
      <c r="AK38" s="6"/>
      <c r="AL38" s="6"/>
      <c r="AM38" s="6"/>
      <c r="AN38" s="6"/>
      <c r="AP38" s="10"/>
    </row>
    <row r="39" spans="1:42" ht="20.100000000000001" customHeight="1" x14ac:dyDescent="0.3">
      <c r="A39" s="1"/>
      <c r="B39" s="219"/>
      <c r="C39" s="349"/>
      <c r="D39" s="349"/>
      <c r="E39" s="364" t="str">
        <f>IFERROR(VLOOKUP(B39,$AF$1:$AJ$33,5,FALSE),"")</f>
        <v/>
      </c>
      <c r="F39" s="220"/>
      <c r="G39" s="364" t="str">
        <f>IFERROR(VLOOKUP(B39,$AF$1:$AJ$33,2,FALSE),"")</f>
        <v/>
      </c>
      <c r="H39" s="222"/>
      <c r="I39" s="220"/>
      <c r="J39" s="367" t="str">
        <f>IFERROR(IF(E39="Transport","N/A",VLOOKUP(B39,$AF$1:$AJ$33,3,FALSE)*F39),"")</f>
        <v/>
      </c>
      <c r="K39" s="364" t="str">
        <f>IFERROR(IF(E39="Transport","N/A",VLOOKUP(B39,$AF$1:$AJ$33,4,FALSE)),IFERROR(VLOOKUP(E39,$P$17:$V$23,2,FALSE),""))</f>
        <v/>
      </c>
      <c r="L39" s="366" t="str">
        <f t="shared" si="14"/>
        <v/>
      </c>
      <c r="M39" s="368" t="str">
        <f>IFERROR(IF(J39="N/A","N/A",H39/L39),"")</f>
        <v/>
      </c>
      <c r="N39" s="369" t="str">
        <f>IFERROR(IF(E39="Transport",VLOOKUP(B39,$AF$1:$AJ$33,3,FALSE)*F39,$J39*VLOOKUP($E39,$P$17:$V$23,4,FALSE)),"")</f>
        <v/>
      </c>
      <c r="O39" s="223"/>
      <c r="P39" s="224" t="str">
        <f t="shared" si="17"/>
        <v/>
      </c>
      <c r="Q39" s="225" t="str">
        <f t="shared" si="18"/>
        <v/>
      </c>
      <c r="R39" s="225" t="str">
        <f t="shared" si="19"/>
        <v/>
      </c>
      <c r="X39" s="128" t="s">
        <v>58</v>
      </c>
      <c r="Y39" s="250">
        <v>0</v>
      </c>
      <c r="Z39" s="251">
        <f>I7</f>
        <v>0</v>
      </c>
      <c r="AA39" s="253">
        <v>0</v>
      </c>
      <c r="AB39" s="253">
        <v>0</v>
      </c>
      <c r="AC39" s="253">
        <v>0</v>
      </c>
      <c r="AD39" s="253">
        <f>SUM(AD23:AD38)</f>
        <v>0</v>
      </c>
      <c r="AJ39" s="254"/>
      <c r="AP39" s="10"/>
    </row>
    <row r="40" spans="1:42" ht="20.100000000000001" customHeight="1" x14ac:dyDescent="0.3">
      <c r="A40" s="1"/>
      <c r="B40" s="374"/>
      <c r="C40" s="375"/>
      <c r="D40" s="375"/>
      <c r="E40" s="365" t="str">
        <f>IFERROR(VLOOKUP(B40,$AF$1:$AJ$33,5,FALSE),"")</f>
        <v/>
      </c>
      <c r="F40" s="365"/>
      <c r="G40" s="365" t="str">
        <f t="shared" si="11"/>
        <v/>
      </c>
      <c r="H40" s="371"/>
      <c r="I40" s="365"/>
      <c r="J40" s="370"/>
      <c r="K40" s="365" t="str">
        <f>IFERROR(IF(E40="Transport","N/A",VLOOKUP(B40,$AF$1:$AJ$33,4,FALSE)),IFERROR(VLOOKUP(E40,$P$17:$V$23,2,FALSE),""))</f>
        <v/>
      </c>
      <c r="L40" s="371" t="str">
        <f t="shared" si="14"/>
        <v/>
      </c>
      <c r="M40" s="372" t="str">
        <f>IFERROR(IF(J40="N/A","N/A",H40/L40),"")</f>
        <v/>
      </c>
      <c r="N40" s="373"/>
      <c r="O40" s="223"/>
      <c r="P40" s="224" t="str">
        <f t="shared" si="17"/>
        <v/>
      </c>
      <c r="Q40" s="225" t="str">
        <f t="shared" si="18"/>
        <v/>
      </c>
      <c r="R40" s="225" t="str">
        <f t="shared" si="19"/>
        <v/>
      </c>
      <c r="AF40" s="353" t="s">
        <v>156</v>
      </c>
      <c r="AG40" s="353"/>
      <c r="AH40" s="353"/>
      <c r="AI40" s="353"/>
      <c r="AJ40" s="254"/>
      <c r="AK40" s="254"/>
      <c r="AL40" s="254"/>
      <c r="AM40" s="254"/>
      <c r="AN40" s="254"/>
      <c r="AP40" s="10"/>
    </row>
    <row r="41" spans="1:42" ht="20.100000000000001" customHeight="1" x14ac:dyDescent="0.3">
      <c r="A41" s="1"/>
      <c r="B41" s="374"/>
      <c r="C41" s="375"/>
      <c r="D41" s="375"/>
      <c r="E41" s="365" t="str">
        <f t="shared" si="7"/>
        <v/>
      </c>
      <c r="F41" s="365"/>
      <c r="G41" s="365" t="str">
        <f t="shared" si="11"/>
        <v/>
      </c>
      <c r="H41" s="371"/>
      <c r="I41" s="365"/>
      <c r="J41" s="370"/>
      <c r="K41" s="365" t="str">
        <f t="shared" si="13"/>
        <v/>
      </c>
      <c r="L41" s="371" t="str">
        <f t="shared" si="14"/>
        <v/>
      </c>
      <c r="M41" s="372" t="str">
        <f t="shared" si="15"/>
        <v/>
      </c>
      <c r="N41" s="373"/>
      <c r="O41" s="223"/>
      <c r="P41" s="224" t="str">
        <f t="shared" si="17"/>
        <v/>
      </c>
      <c r="Q41" s="225" t="str">
        <f t="shared" si="18"/>
        <v/>
      </c>
      <c r="R41" s="225" t="str">
        <f t="shared" si="19"/>
        <v/>
      </c>
      <c r="X41" s="162" t="s">
        <v>40</v>
      </c>
      <c r="Y41" s="255"/>
      <c r="Z41" s="255"/>
      <c r="AA41" s="256" t="e">
        <f>1000*SUM(AA22:AA28)/SUM($Z22:$Z28)</f>
        <v>#DIV/0!</v>
      </c>
      <c r="AB41" s="256" t="e">
        <f>1000*SUM(AB22:AB28)/SUM($Z22:$Z28)</f>
        <v>#DIV/0!</v>
      </c>
      <c r="AC41" s="257" t="e">
        <f>1000*SUM(AC22:AC28)/SUM($Z22:$Z28)</f>
        <v>#DIV/0!</v>
      </c>
      <c r="AD41" s="257" t="e">
        <f>1000*SUM(AD22:AD28)/SUM($Z22:$Z28)</f>
        <v>#DIV/0!</v>
      </c>
      <c r="AE41" s="6"/>
      <c r="AF41" s="258" t="e">
        <f t="shared" ref="AF41:AI42" si="20">S18-AA41</f>
        <v>#DIV/0!</v>
      </c>
      <c r="AG41" s="259" t="e">
        <f t="shared" si="20"/>
        <v>#DIV/0!</v>
      </c>
      <c r="AH41" s="260" t="e">
        <f t="shared" si="20"/>
        <v>#DIV/0!</v>
      </c>
      <c r="AI41" s="260" t="e">
        <f t="shared" si="20"/>
        <v>#DIV/0!</v>
      </c>
      <c r="AJ41" s="247"/>
      <c r="AK41" s="259"/>
      <c r="AL41" s="259"/>
      <c r="AM41" s="259"/>
      <c r="AN41" s="259"/>
      <c r="AP41" s="10"/>
    </row>
    <row r="42" spans="1:42" ht="20.100000000000001" customHeight="1" x14ac:dyDescent="0.3">
      <c r="A42" s="1"/>
      <c r="B42" s="374"/>
      <c r="C42" s="375"/>
      <c r="D42" s="375"/>
      <c r="E42" s="365" t="str">
        <f>IFERROR(VLOOKUP(B42,$AF$1:$AJ$33,5,FALSE),"")</f>
        <v/>
      </c>
      <c r="F42" s="365"/>
      <c r="G42" s="365" t="str">
        <f t="shared" si="11"/>
        <v/>
      </c>
      <c r="H42" s="371"/>
      <c r="I42" s="365"/>
      <c r="J42" s="370"/>
      <c r="K42" s="365" t="str">
        <f t="shared" si="13"/>
        <v/>
      </c>
      <c r="L42" s="371" t="str">
        <f t="shared" si="14"/>
        <v/>
      </c>
      <c r="M42" s="372" t="str">
        <f t="shared" si="15"/>
        <v/>
      </c>
      <c r="N42" s="373"/>
      <c r="O42" s="223"/>
      <c r="P42" s="224" t="str">
        <f t="shared" si="17"/>
        <v/>
      </c>
      <c r="Q42" s="225" t="str">
        <f t="shared" si="18"/>
        <v/>
      </c>
      <c r="R42" s="225" t="str">
        <f t="shared" si="19"/>
        <v/>
      </c>
      <c r="X42" s="119" t="s">
        <v>49</v>
      </c>
      <c r="AA42" s="261" t="e">
        <f>1000*SUM(AA29)/SUM($Z29:$Z31)</f>
        <v>#DIV/0!</v>
      </c>
      <c r="AB42" s="261" t="e">
        <f>1000*SUM(AB29:AB31)/SUM($Z29:$Z31)</f>
        <v>#DIV/0!</v>
      </c>
      <c r="AC42" s="262" t="e">
        <f>1000*SUM(AC29:AC31)/SUM($Z29:$Z31)</f>
        <v>#DIV/0!</v>
      </c>
      <c r="AD42" s="262" t="e">
        <f>1000*SUM(AD29:AD31)/SUM($Z29:$Z31)</f>
        <v>#DIV/0!</v>
      </c>
      <c r="AE42" s="6"/>
      <c r="AF42" s="258" t="e">
        <f t="shared" si="20"/>
        <v>#VALUE!</v>
      </c>
      <c r="AG42" s="259" t="e">
        <f t="shared" si="20"/>
        <v>#VALUE!</v>
      </c>
      <c r="AH42" s="260" t="e">
        <f t="shared" si="20"/>
        <v>#VALUE!</v>
      </c>
      <c r="AI42" s="260" t="e">
        <f t="shared" si="20"/>
        <v>#VALUE!</v>
      </c>
      <c r="AJ42" s="263"/>
      <c r="AK42" s="259"/>
      <c r="AL42" s="259"/>
      <c r="AM42" s="259"/>
      <c r="AN42" s="259"/>
      <c r="AP42" s="10"/>
    </row>
    <row r="43" spans="1:42" ht="20.100000000000001" customHeight="1" x14ac:dyDescent="0.3">
      <c r="A43" s="1"/>
      <c r="B43" s="374"/>
      <c r="C43" s="375"/>
      <c r="D43" s="375"/>
      <c r="E43" s="365" t="str">
        <f t="shared" si="7"/>
        <v/>
      </c>
      <c r="F43" s="365"/>
      <c r="G43" s="365" t="str">
        <f t="shared" si="11"/>
        <v/>
      </c>
      <c r="H43" s="371"/>
      <c r="I43" s="370"/>
      <c r="J43" s="370"/>
      <c r="K43" s="365" t="str">
        <f t="shared" si="13"/>
        <v/>
      </c>
      <c r="L43" s="371" t="str">
        <f>IFERROR(IF(E43="Transport","N/A",I43*VLOOKUP(E43,$P$17:$V$23,3,FALSE)),"")</f>
        <v/>
      </c>
      <c r="M43" s="372" t="str">
        <f>IFERROR(IF(I43="N/A","N/A",H43/L43),"")</f>
        <v/>
      </c>
      <c r="N43" s="373"/>
      <c r="O43" s="223"/>
      <c r="P43" s="224" t="str">
        <f>IFERROR(IF(E43="Transport",N43*T$18/$S$18,$I43*VLOOKUP($E43,$P$17:$V$23,5,FALSE)),"")</f>
        <v/>
      </c>
      <c r="Q43" s="225" t="str">
        <f>IFERROR(IF(E43="Transport",N43*U$18/$S$18,$I43*VLOOKUP($E43,$P$17:$V$23,6,FALSE)),"")</f>
        <v/>
      </c>
      <c r="R43" s="225" t="str">
        <f>IFERROR(IF(E43="Transport",N43*V$18/$S$18,$I43*VLOOKUP($E43,$P$17:$V$23,7,FALSE)),"")</f>
        <v/>
      </c>
      <c r="X43" s="119" t="s">
        <v>123</v>
      </c>
      <c r="AA43" s="261" t="e">
        <f>1000*SUM(AA32)/SUM($Z32:$Z34)</f>
        <v>#DIV/0!</v>
      </c>
      <c r="AB43" s="261" t="e">
        <f>1000*SUM(AB32:AB34)/SUM($Z32:$Z34)</f>
        <v>#DIV/0!</v>
      </c>
      <c r="AC43" s="262" t="e">
        <f>1000*SUM(AC32:AC34)/SUM($Z32:$Z34)</f>
        <v>#DIV/0!</v>
      </c>
      <c r="AD43" s="262" t="e">
        <f>1000*SUM(AD32:AD34)/SUM($Z32:$Z34)</f>
        <v>#DIV/0!</v>
      </c>
      <c r="AE43" s="6"/>
      <c r="AF43" s="258" t="e">
        <f t="shared" ref="AF43:AI44" si="21">S21-AA43</f>
        <v>#VALUE!</v>
      </c>
      <c r="AG43" s="259" t="e">
        <f t="shared" si="21"/>
        <v>#VALUE!</v>
      </c>
      <c r="AH43" s="260" t="e">
        <f t="shared" si="21"/>
        <v>#VALUE!</v>
      </c>
      <c r="AI43" s="260" t="e">
        <f t="shared" si="21"/>
        <v>#VALUE!</v>
      </c>
      <c r="AJ43" s="263"/>
      <c r="AK43" s="259"/>
      <c r="AL43" s="259"/>
      <c r="AM43" s="259"/>
      <c r="AN43" s="259"/>
      <c r="AP43" s="10"/>
    </row>
    <row r="44" spans="1:42" ht="20.100000000000001" customHeight="1" x14ac:dyDescent="0.3">
      <c r="A44" s="1"/>
      <c r="B44" s="374"/>
      <c r="C44" s="375"/>
      <c r="D44" s="375"/>
      <c r="E44" s="365" t="str">
        <f t="shared" si="7"/>
        <v/>
      </c>
      <c r="F44" s="365"/>
      <c r="G44" s="365" t="str">
        <f t="shared" si="11"/>
        <v/>
      </c>
      <c r="H44" s="371"/>
      <c r="I44" s="365"/>
      <c r="J44" s="370"/>
      <c r="K44" s="365" t="str">
        <f t="shared" si="13"/>
        <v/>
      </c>
      <c r="L44" s="371" t="str">
        <f>IFERROR(IF(E44="Transport","N/A",J44*VLOOKUP(E44,$P$17:$V$23,3,FALSE)),"")</f>
        <v/>
      </c>
      <c r="M44" s="372" t="str">
        <f>IFERROR(IF(J44="N/A","N/A",H44/L44),"")</f>
        <v/>
      </c>
      <c r="N44" s="373"/>
      <c r="O44" s="223"/>
      <c r="P44" s="224" t="str">
        <f>IFERROR(IF(E44="Transport",N44*T$18/$S$18,$J44*VLOOKUP($E44,$P$17:$V$23,5,FALSE)),"")</f>
        <v/>
      </c>
      <c r="Q44" s="225" t="str">
        <f>IFERROR(IF(E44="Transport",N44*U$18/$S$18,$J44*VLOOKUP($E44,$P$17:$V$23,6,FALSE)),"")</f>
        <v/>
      </c>
      <c r="R44" s="225" t="str">
        <f>IFERROR(IF(E44="Transport",N44*V$18/$S$18,$J44*VLOOKUP($E44,$P$17:$V$23,7,FALSE)),"")</f>
        <v/>
      </c>
      <c r="X44" s="128" t="s">
        <v>127</v>
      </c>
      <c r="Y44" s="252"/>
      <c r="Z44" s="252"/>
      <c r="AA44" s="253" t="e">
        <f>1000*AA35/$Z35</f>
        <v>#DIV/0!</v>
      </c>
      <c r="AB44" s="253" t="e">
        <f>1000*AB35/$Z35</f>
        <v>#DIV/0!</v>
      </c>
      <c r="AC44" s="264" t="e">
        <f>1000*AC35/$Z35</f>
        <v>#DIV/0!</v>
      </c>
      <c r="AD44" s="264" t="e">
        <f>1000*AD35/$Z35</f>
        <v>#DIV/0!</v>
      </c>
      <c r="AE44" s="6"/>
      <c r="AF44" s="258" t="e">
        <f t="shared" si="21"/>
        <v>#VALUE!</v>
      </c>
      <c r="AG44" s="259" t="e">
        <f t="shared" si="21"/>
        <v>#VALUE!</v>
      </c>
      <c r="AH44" s="260" t="e">
        <f t="shared" si="21"/>
        <v>#VALUE!</v>
      </c>
      <c r="AI44" s="260" t="e">
        <f t="shared" si="21"/>
        <v>#VALUE!</v>
      </c>
      <c r="AJ44" s="263"/>
      <c r="AK44" s="259"/>
      <c r="AL44" s="259"/>
      <c r="AM44" s="259"/>
      <c r="AN44" s="259"/>
      <c r="AP44" s="10"/>
    </row>
    <row r="45" spans="1:42" ht="20.100000000000001" customHeight="1" x14ac:dyDescent="0.3">
      <c r="A45" s="1"/>
      <c r="B45" s="374"/>
      <c r="C45" s="375"/>
      <c r="D45" s="375"/>
      <c r="E45" s="365" t="str">
        <f t="shared" si="7"/>
        <v/>
      </c>
      <c r="F45" s="365"/>
      <c r="G45" s="365" t="str">
        <f t="shared" si="11"/>
        <v/>
      </c>
      <c r="H45" s="371"/>
      <c r="I45" s="365"/>
      <c r="J45" s="370"/>
      <c r="K45" s="365" t="str">
        <f t="shared" si="13"/>
        <v/>
      </c>
      <c r="L45" s="371" t="str">
        <f>IFERROR(IF(E45="Transport","N/A",J45*VLOOKUP(E45,$P$17:$V$23,3,FALSE)),"")</f>
        <v/>
      </c>
      <c r="M45" s="372" t="str">
        <f>IFERROR(IF(J45="N/A","N/A",H45/L45),"")</f>
        <v/>
      </c>
      <c r="N45" s="373"/>
      <c r="O45" s="223"/>
      <c r="P45" s="224" t="str">
        <f>IFERROR(IF(E45="Transport",N45*T$18/$S$18,$J45*VLOOKUP($E45,$P$17:$V$23,5,FALSE)),"")</f>
        <v/>
      </c>
      <c r="Q45" s="225" t="str">
        <f>IFERROR(IF(E45="Transport",N45*U$18/$S$18,$J45*VLOOKUP($E45,$P$17:$V$23,6,FALSE)),"")</f>
        <v/>
      </c>
      <c r="R45" s="225" t="str">
        <f>IFERROR(IF(E45="Transport",N45*V$18/$S$18,$J45*VLOOKUP($E45,$P$17:$V$23,7,FALSE)),"")</f>
        <v/>
      </c>
      <c r="AJ45" s="263"/>
      <c r="AP45" s="10"/>
    </row>
    <row r="46" spans="1:42" ht="20.100000000000001" customHeight="1" x14ac:dyDescent="0.3">
      <c r="A46" s="1"/>
      <c r="B46" s="374"/>
      <c r="C46" s="375"/>
      <c r="D46" s="375"/>
      <c r="E46" s="365" t="str">
        <f t="shared" si="7"/>
        <v/>
      </c>
      <c r="F46" s="365"/>
      <c r="G46" s="365"/>
      <c r="H46" s="371"/>
      <c r="I46" s="365"/>
      <c r="J46" s="370"/>
      <c r="K46" s="365" t="str">
        <f t="shared" si="13"/>
        <v/>
      </c>
      <c r="L46" s="371" t="str">
        <f t="shared" si="14"/>
        <v/>
      </c>
      <c r="M46" s="372" t="str">
        <f t="shared" si="15"/>
        <v/>
      </c>
      <c r="N46" s="373"/>
      <c r="O46" s="223"/>
      <c r="P46" s="224" t="str">
        <f t="shared" si="17"/>
        <v/>
      </c>
      <c r="Q46" s="225" t="str">
        <f t="shared" si="18"/>
        <v/>
      </c>
      <c r="R46" s="225" t="str">
        <f t="shared" si="19"/>
        <v/>
      </c>
      <c r="AJ46" s="263"/>
      <c r="AP46" s="11"/>
    </row>
    <row r="47" spans="1:42" ht="15" customHeight="1" x14ac:dyDescent="0.3">
      <c r="A47" s="1"/>
      <c r="B47" s="265" t="s">
        <v>157</v>
      </c>
      <c r="C47" s="1"/>
      <c r="D47" s="1"/>
      <c r="E47" s="1"/>
      <c r="F47" s="1"/>
      <c r="G47" s="1"/>
      <c r="H47" s="1"/>
      <c r="I47" s="1"/>
      <c r="J47" s="1"/>
      <c r="K47" s="1"/>
      <c r="L47" s="1"/>
      <c r="M47" s="1"/>
      <c r="N47" s="1"/>
      <c r="O47" s="1"/>
      <c r="AC47" s="6"/>
      <c r="AD47" s="6"/>
      <c r="AE47" s="6"/>
      <c r="AF47" s="6"/>
      <c r="AJ47" s="263"/>
      <c r="AP47" s="11"/>
    </row>
    <row r="48" spans="1:42" ht="15" hidden="1" customHeight="1" x14ac:dyDescent="0.3">
      <c r="A48" s="266"/>
      <c r="B48" s="266"/>
      <c r="C48" s="266"/>
      <c r="D48" s="266"/>
      <c r="E48" s="266"/>
      <c r="F48" s="266"/>
      <c r="G48" s="266"/>
      <c r="H48" s="266"/>
      <c r="I48" s="266"/>
      <c r="J48" s="266"/>
      <c r="K48" s="266"/>
      <c r="L48" s="266"/>
      <c r="M48" s="266"/>
      <c r="N48" s="266"/>
      <c r="O48" s="266"/>
      <c r="AC48" s="6"/>
      <c r="AD48" s="6"/>
      <c r="AE48" s="6"/>
      <c r="AF48" s="6"/>
      <c r="AJ48" s="263"/>
      <c r="AP48" s="11"/>
    </row>
    <row r="49" spans="1:42" ht="15" hidden="1" customHeight="1" x14ac:dyDescent="0.3">
      <c r="AC49" s="6"/>
      <c r="AD49" s="6"/>
      <c r="AE49" s="6"/>
      <c r="AF49" s="6"/>
      <c r="AJ49" s="263"/>
    </row>
    <row r="50" spans="1:42" ht="15" hidden="1" customHeight="1" x14ac:dyDescent="0.3">
      <c r="AC50" s="6"/>
      <c r="AD50" s="6"/>
      <c r="AE50" s="6"/>
      <c r="AF50" s="6"/>
      <c r="AJ50" s="263"/>
    </row>
    <row r="51" spans="1:42" ht="15" hidden="1" customHeight="1" x14ac:dyDescent="0.3">
      <c r="AC51" s="6"/>
      <c r="AD51" s="6"/>
      <c r="AE51" s="6"/>
      <c r="AF51" s="6"/>
      <c r="AJ51" s="263"/>
    </row>
    <row r="52" spans="1:42" ht="15" hidden="1" customHeight="1" x14ac:dyDescent="0.3">
      <c r="AC52" s="6"/>
      <c r="AD52" s="6"/>
      <c r="AE52" s="6"/>
      <c r="AF52" s="6"/>
      <c r="AJ52" s="263"/>
    </row>
    <row r="53" spans="1:42" ht="15" hidden="1" customHeight="1" x14ac:dyDescent="0.3">
      <c r="AC53" s="6"/>
      <c r="AD53" s="6"/>
      <c r="AE53" s="6"/>
      <c r="AF53" s="6"/>
      <c r="AJ53" s="263"/>
    </row>
    <row r="54" spans="1:42" ht="15" hidden="1" customHeight="1" x14ac:dyDescent="0.3">
      <c r="AC54" s="6"/>
      <c r="AD54" s="6"/>
      <c r="AE54" s="6"/>
      <c r="AF54" s="6"/>
    </row>
    <row r="55" spans="1:42" ht="15" hidden="1" customHeight="1" x14ac:dyDescent="0.3">
      <c r="AC55" s="6"/>
      <c r="AD55" s="6"/>
      <c r="AE55" s="6"/>
      <c r="AF55" s="6"/>
    </row>
    <row r="56" spans="1:42" s="9" customFormat="1" ht="15" hidden="1" customHeight="1" x14ac:dyDescent="0.3">
      <c r="A56" s="6"/>
      <c r="B56" s="6"/>
      <c r="C56" s="6"/>
      <c r="D56" s="6"/>
      <c r="E56" s="6"/>
      <c r="F56" s="6"/>
      <c r="G56" s="6"/>
      <c r="H56" s="6"/>
      <c r="J56" s="6"/>
      <c r="K56" s="6"/>
      <c r="L56" s="6"/>
      <c r="M56" s="6"/>
      <c r="N56" s="6"/>
      <c r="O56" s="6"/>
      <c r="P56" s="6"/>
      <c r="Q56" s="6"/>
      <c r="R56" s="6"/>
      <c r="S56" s="6"/>
      <c r="T56" s="6"/>
      <c r="U56" s="6"/>
      <c r="V56" s="6"/>
      <c r="W56" s="6"/>
      <c r="X56" s="6"/>
      <c r="Y56" s="6"/>
      <c r="Z56" s="6"/>
      <c r="AA56" s="6"/>
      <c r="AB56" s="6"/>
      <c r="AC56" s="6"/>
      <c r="AD56" s="6"/>
      <c r="AE56" s="6"/>
      <c r="AF56" s="6"/>
      <c r="AJ56" s="10"/>
      <c r="AP56" s="10"/>
    </row>
    <row r="57" spans="1:42" s="9" customFormat="1" ht="15" hidden="1" customHeight="1" x14ac:dyDescent="0.3">
      <c r="A57" s="6"/>
      <c r="B57" s="6"/>
      <c r="C57" s="6"/>
      <c r="D57" s="6"/>
      <c r="E57" s="6"/>
      <c r="F57" s="267"/>
      <c r="G57" s="268"/>
      <c r="H57" s="6"/>
      <c r="J57" s="6"/>
      <c r="K57" s="6"/>
      <c r="L57" s="6"/>
      <c r="M57" s="6"/>
      <c r="N57" s="6"/>
      <c r="O57" s="6"/>
      <c r="P57" s="6"/>
      <c r="Q57" s="6"/>
      <c r="R57" s="6"/>
      <c r="S57" s="6"/>
      <c r="T57" s="6"/>
      <c r="U57" s="6"/>
      <c r="V57" s="6"/>
      <c r="W57" s="6"/>
      <c r="X57" s="6"/>
      <c r="Y57" s="6"/>
      <c r="Z57" s="6"/>
      <c r="AA57" s="6"/>
      <c r="AB57" s="6"/>
      <c r="AC57" s="6"/>
      <c r="AD57" s="6"/>
      <c r="AE57" s="6"/>
      <c r="AF57" s="6"/>
      <c r="AJ57" s="10"/>
      <c r="AP57" s="10"/>
    </row>
    <row r="58" spans="1:42" s="9" customFormat="1" ht="15" hidden="1" customHeight="1" x14ac:dyDescent="0.3">
      <c r="A58" s="6"/>
      <c r="B58" s="6"/>
      <c r="C58" s="6"/>
      <c r="D58" s="6"/>
      <c r="E58" s="6"/>
      <c r="F58" s="6"/>
      <c r="G58" s="6"/>
      <c r="H58" s="6"/>
      <c r="J58" s="6"/>
      <c r="K58" s="6"/>
      <c r="L58" s="6"/>
      <c r="M58" s="6"/>
      <c r="N58" s="6"/>
      <c r="O58" s="6"/>
      <c r="P58" s="6"/>
      <c r="Q58" s="6"/>
      <c r="R58" s="6"/>
      <c r="S58" s="6"/>
      <c r="T58" s="6"/>
      <c r="U58" s="6"/>
      <c r="V58" s="6"/>
      <c r="W58" s="6"/>
      <c r="X58" s="6"/>
      <c r="Y58" s="6"/>
      <c r="Z58" s="6"/>
      <c r="AA58" s="6"/>
      <c r="AB58" s="6"/>
      <c r="AC58" s="6"/>
      <c r="AD58" s="6"/>
      <c r="AE58" s="6"/>
      <c r="AF58" s="6"/>
      <c r="AJ58" s="10"/>
      <c r="AP58" s="10"/>
    </row>
    <row r="59" spans="1:42" s="9" customFormat="1" ht="15" hidden="1" customHeight="1" x14ac:dyDescent="0.3">
      <c r="A59" s="6"/>
      <c r="B59" s="6"/>
      <c r="C59" s="6"/>
      <c r="D59" s="6"/>
      <c r="E59" s="6"/>
      <c r="F59" s="6"/>
      <c r="G59" s="6"/>
      <c r="H59" s="6"/>
      <c r="J59" s="6"/>
      <c r="K59" s="6"/>
      <c r="L59" s="6"/>
      <c r="M59" s="6"/>
      <c r="N59" s="6"/>
      <c r="O59" s="6"/>
      <c r="P59" s="6"/>
      <c r="Q59" s="6"/>
      <c r="R59" s="6"/>
      <c r="S59" s="6"/>
      <c r="T59" s="6"/>
      <c r="U59" s="6"/>
      <c r="V59" s="6"/>
      <c r="W59" s="6"/>
      <c r="X59" s="6"/>
      <c r="Y59" s="6"/>
      <c r="Z59" s="6"/>
      <c r="AA59" s="6"/>
      <c r="AB59" s="6"/>
      <c r="AC59" s="6"/>
      <c r="AD59" s="6"/>
      <c r="AE59" s="6"/>
      <c r="AF59" s="6"/>
      <c r="AJ59" s="10"/>
      <c r="AP59" s="10"/>
    </row>
    <row r="60" spans="1:42" s="9" customFormat="1" ht="15" hidden="1" customHeight="1" x14ac:dyDescent="0.3">
      <c r="A60" s="6"/>
      <c r="B60" s="6"/>
      <c r="C60" s="6"/>
      <c r="D60" s="6"/>
      <c r="E60" s="6"/>
      <c r="F60" s="6"/>
      <c r="G60" s="6"/>
      <c r="H60" s="6"/>
      <c r="J60" s="6"/>
      <c r="K60" s="6"/>
      <c r="L60" s="6"/>
      <c r="M60" s="6"/>
      <c r="N60" s="6"/>
      <c r="O60" s="6"/>
      <c r="P60" s="6"/>
      <c r="Q60" s="6"/>
      <c r="R60" s="6"/>
      <c r="S60" s="6"/>
      <c r="T60" s="6"/>
      <c r="U60" s="6"/>
      <c r="V60" s="6"/>
      <c r="W60" s="6"/>
      <c r="X60" s="6"/>
      <c r="Y60" s="6"/>
      <c r="Z60" s="6"/>
      <c r="AA60" s="6"/>
      <c r="AB60" s="6"/>
      <c r="AJ60" s="10"/>
      <c r="AP60" s="10"/>
    </row>
    <row r="61" spans="1:42" s="9" customFormat="1" ht="15" hidden="1" customHeight="1" x14ac:dyDescent="0.3">
      <c r="A61" s="6"/>
      <c r="R61" s="6"/>
      <c r="S61" s="6"/>
      <c r="T61" s="6"/>
      <c r="U61" s="6"/>
      <c r="V61" s="6"/>
      <c r="W61" s="6"/>
      <c r="X61" s="6"/>
      <c r="Y61" s="6"/>
      <c r="Z61" s="6"/>
      <c r="AA61" s="6"/>
      <c r="AB61" s="6"/>
      <c r="AJ61" s="10"/>
      <c r="AP61" s="10"/>
    </row>
    <row r="62" spans="1:42" s="9" customFormat="1" ht="15" hidden="1" customHeight="1" x14ac:dyDescent="0.3">
      <c r="A62" s="6"/>
      <c r="R62" s="6"/>
      <c r="S62" s="6"/>
      <c r="T62" s="6"/>
      <c r="U62" s="6"/>
      <c r="V62" s="6"/>
      <c r="W62" s="6"/>
      <c r="X62" s="6"/>
      <c r="Y62" s="6"/>
      <c r="Z62" s="6"/>
      <c r="AA62" s="6"/>
      <c r="AB62" s="6"/>
      <c r="AJ62" s="10"/>
      <c r="AP62" s="10"/>
    </row>
    <row r="63" spans="1:42" s="9" customFormat="1" ht="15" hidden="1" customHeight="1" x14ac:dyDescent="0.3">
      <c r="A63" s="6"/>
      <c r="R63" s="6"/>
      <c r="S63" s="6"/>
      <c r="T63" s="6"/>
      <c r="U63" s="6"/>
      <c r="V63" s="6"/>
      <c r="W63" s="6"/>
      <c r="X63" s="6"/>
      <c r="Y63" s="6"/>
      <c r="Z63" s="6"/>
      <c r="AA63" s="6"/>
      <c r="AB63" s="6"/>
      <c r="AJ63" s="10"/>
      <c r="AP63" s="10"/>
    </row>
    <row r="64" spans="1:42" s="9" customFormat="1" ht="15" hidden="1" customHeight="1" x14ac:dyDescent="0.3">
      <c r="A64" s="6"/>
      <c r="R64" s="6"/>
      <c r="S64" s="6"/>
      <c r="T64" s="6"/>
      <c r="U64" s="6"/>
      <c r="V64" s="6"/>
      <c r="W64" s="6"/>
      <c r="X64" s="6"/>
      <c r="Y64" s="6"/>
      <c r="Z64" s="6"/>
      <c r="AA64" s="6"/>
      <c r="AB64" s="6"/>
      <c r="AJ64" s="10"/>
      <c r="AP64" s="10"/>
    </row>
    <row r="65" spans="1:42" s="9" customFormat="1" ht="15" hidden="1" customHeight="1" x14ac:dyDescent="0.3">
      <c r="A65" s="6"/>
      <c r="R65" s="6"/>
      <c r="S65" s="6"/>
      <c r="T65" s="6"/>
      <c r="U65" s="6"/>
      <c r="V65" s="6"/>
      <c r="W65" s="6"/>
      <c r="X65" s="6"/>
      <c r="Y65" s="6"/>
      <c r="Z65" s="6"/>
      <c r="AA65" s="6"/>
      <c r="AB65" s="6"/>
      <c r="AJ65" s="10"/>
      <c r="AP65" s="10"/>
    </row>
    <row r="66" spans="1:42" s="9" customFormat="1" ht="15" hidden="1" customHeight="1" x14ac:dyDescent="0.3">
      <c r="A66" s="6"/>
      <c r="R66" s="6"/>
      <c r="S66" s="6"/>
      <c r="T66" s="6"/>
      <c r="U66" s="6"/>
      <c r="V66" s="6"/>
      <c r="W66" s="6"/>
      <c r="X66" s="6"/>
      <c r="Y66" s="6"/>
      <c r="Z66" s="6"/>
      <c r="AA66" s="6"/>
      <c r="AB66" s="6"/>
      <c r="AJ66" s="10"/>
      <c r="AP66" s="10"/>
    </row>
  </sheetData>
  <sheetProtection algorithmName="SHA-512" hashValue="5y1Ae1weuXFpBy6MZPuhHlSUawzQhd8cyawrffZ+mZ2ZDoxcLoa+cYXbO/uuM5AQoToXfZbz95k+zrMHYZH+6A==" saltValue="7WQ8Gda06CciB0ft+v1K/Q==" spinCount="100000" sheet="1" objects="1" scenarios="1"/>
  <mergeCells count="82">
    <mergeCell ref="C45:D45"/>
    <mergeCell ref="C46:D46"/>
    <mergeCell ref="C40:D40"/>
    <mergeCell ref="AF40:AI40"/>
    <mergeCell ref="C41:D41"/>
    <mergeCell ref="C42:D42"/>
    <mergeCell ref="C43:D43"/>
    <mergeCell ref="C44:D44"/>
    <mergeCell ref="C39:D39"/>
    <mergeCell ref="C29:D29"/>
    <mergeCell ref="AA29:AA31"/>
    <mergeCell ref="C30:D30"/>
    <mergeCell ref="C31:D31"/>
    <mergeCell ref="C32:D32"/>
    <mergeCell ref="AA32:AA34"/>
    <mergeCell ref="C33:D33"/>
    <mergeCell ref="C34:D34"/>
    <mergeCell ref="C35:D35"/>
    <mergeCell ref="C36:D36"/>
    <mergeCell ref="AA36:AA37"/>
    <mergeCell ref="C37:D37"/>
    <mergeCell ref="C38:D38"/>
    <mergeCell ref="AA26:AA28"/>
    <mergeCell ref="B28:M28"/>
    <mergeCell ref="D17:E17"/>
    <mergeCell ref="H17:I17"/>
    <mergeCell ref="K17:L17"/>
    <mergeCell ref="B19:M19"/>
    <mergeCell ref="B20:D20"/>
    <mergeCell ref="K20:N20"/>
    <mergeCell ref="K22:L22"/>
    <mergeCell ref="K23:L23"/>
    <mergeCell ref="K24:L24"/>
    <mergeCell ref="K25:L25"/>
    <mergeCell ref="K26:L26"/>
    <mergeCell ref="P15:V15"/>
    <mergeCell ref="X15:AD15"/>
    <mergeCell ref="D16:E16"/>
    <mergeCell ref="H16:I16"/>
    <mergeCell ref="K16:L16"/>
    <mergeCell ref="P16:V16"/>
    <mergeCell ref="X16:Y16"/>
    <mergeCell ref="D15:E15"/>
    <mergeCell ref="H15:J15"/>
    <mergeCell ref="K15:N15"/>
    <mergeCell ref="B13:G13"/>
    <mergeCell ref="H13:I13"/>
    <mergeCell ref="K13:L13"/>
    <mergeCell ref="H14:I14"/>
    <mergeCell ref="K14:L14"/>
    <mergeCell ref="AK10:AL10"/>
    <mergeCell ref="AM10:AN10"/>
    <mergeCell ref="H11:I11"/>
    <mergeCell ref="K11:L11"/>
    <mergeCell ref="H12:I12"/>
    <mergeCell ref="K12:L12"/>
    <mergeCell ref="K10:L10"/>
    <mergeCell ref="B10:B11"/>
    <mergeCell ref="C10:D11"/>
    <mergeCell ref="E10:E11"/>
    <mergeCell ref="F10:G11"/>
    <mergeCell ref="H10:I10"/>
    <mergeCell ref="H8:N8"/>
    <mergeCell ref="H9:N9"/>
    <mergeCell ref="C3:D3"/>
    <mergeCell ref="F3:G3"/>
    <mergeCell ref="H3:J3"/>
    <mergeCell ref="K3:N3"/>
    <mergeCell ref="C4:G4"/>
    <mergeCell ref="C5:D5"/>
    <mergeCell ref="F5:G5"/>
    <mergeCell ref="C6:D6"/>
    <mergeCell ref="F6:G6"/>
    <mergeCell ref="C7:D7"/>
    <mergeCell ref="F7:G7"/>
    <mergeCell ref="B8:G9"/>
    <mergeCell ref="AF2:AJ2"/>
    <mergeCell ref="C1:F1"/>
    <mergeCell ref="I1:M1"/>
    <mergeCell ref="B2:G2"/>
    <mergeCell ref="H2:N2"/>
    <mergeCell ref="P2:AD2"/>
  </mergeCells>
  <conditionalFormatting sqref="B30:C46 E30:N46">
    <cfRule type="expression" dxfId="10" priority="3">
      <formula>$B29=""</formula>
    </cfRule>
  </conditionalFormatting>
  <conditionalFormatting sqref="C15:C18 B30:C46 E30:N46">
    <cfRule type="notContainsBlanks" dxfId="9" priority="9">
      <formula>LEN(TRIM(B15))&gt;0</formula>
    </cfRule>
  </conditionalFormatting>
  <conditionalFormatting sqref="C3:D3 F3:G3 C4:G4 I5:I7 L5:M7 M11:M14 G18:I18">
    <cfRule type="notContainsBlanks" dxfId="8" priority="11">
      <formula>LEN(TRIM(C3))&gt;0</formula>
    </cfRule>
  </conditionalFormatting>
  <conditionalFormatting sqref="C5:D7 F5:G7">
    <cfRule type="notContainsBlanks" dxfId="7" priority="2">
      <formula>LEN(TRIM(C5))&gt;0</formula>
    </cfRule>
  </conditionalFormatting>
  <conditionalFormatting sqref="F15:G17">
    <cfRule type="notContainsBlanks" dxfId="6" priority="1">
      <formula>LEN(TRIM(F15))&gt;0</formula>
    </cfRule>
  </conditionalFormatting>
  <conditionalFormatting sqref="H17">
    <cfRule type="notContainsBlanks" dxfId="5" priority="6">
      <formula>LEN(TRIM(H17))&gt;0</formula>
    </cfRule>
  </conditionalFormatting>
  <conditionalFormatting sqref="J11:L12 J13:K13 J14:L14">
    <cfRule type="notContainsBlanks" dxfId="4" priority="8">
      <formula>LEN(TRIM(J11))&gt;0</formula>
    </cfRule>
  </conditionalFormatting>
  <conditionalFormatting sqref="K17:K18 M17:M18">
    <cfRule type="notContainsBlanks" dxfId="3" priority="7">
      <formula>LEN(TRIM(K17))&gt;0</formula>
    </cfRule>
  </conditionalFormatting>
  <conditionalFormatting sqref="N30:N31">
    <cfRule type="expression" dxfId="2" priority="5">
      <formula>$B29=""</formula>
    </cfRule>
  </conditionalFormatting>
  <conditionalFormatting sqref="AF41:AI44">
    <cfRule type="cellIs" dxfId="1" priority="10" operator="between">
      <formula>-0.00000001</formula>
      <formula>0.00000001</formula>
    </cfRule>
  </conditionalFormatting>
  <conditionalFormatting sqref="AK41:AN44">
    <cfRule type="cellIs" dxfId="0" priority="4" operator="between">
      <formula>-0.00000001</formula>
      <formula>0.00000001</formula>
    </cfRule>
  </conditionalFormatting>
  <dataValidations count="4">
    <dataValidation type="list" allowBlank="1" showInputMessage="1" showErrorMessage="1" sqref="E30:E46" xr:uid="{D1A15381-1BCB-4AEA-8AA5-32F81593C3EA}">
      <formula1>Factors</formula1>
    </dataValidation>
    <dataValidation type="list" allowBlank="1" showInputMessage="1" showErrorMessage="1" sqref="B30:B46" xr:uid="{94F647D0-2B07-4C8B-AF1D-62699251CD19}">
      <formula1>Actions</formula1>
    </dataValidation>
    <dataValidation type="list" allowBlank="1" showInputMessage="1" showErrorMessage="1" sqref="AJ4:AJ33" xr:uid="{031C0F92-7702-4428-8AA3-2FA1788C8A7D}">
      <formula1>$P$18:$P$23</formula1>
    </dataValidation>
    <dataValidation type="list" allowBlank="1" showInputMessage="1" showErrorMessage="1" sqref="F3:G3" xr:uid="{F920990D-5C00-4DC9-995C-7C036BB6BF09}">
      <formula1>"2023,2024,2025,2026,2027,2028,2029,2030"</formula1>
    </dataValidation>
  </dataValidations>
  <hyperlinks>
    <hyperlink ref="W10" r:id="rId1" display="https://ghgprotocol.org/sites/default/files/2024-05/Emission_Factors_for_Cross_Sector_Tools_V2.0_0.xlsx" xr:uid="{F1B92FF6-4AEA-4437-AEED-7280CF9F1343}"/>
    <hyperlink ref="X10" r:id="rId2" display="https://ghgprotocol.org/sites/default/files/2024-05/Emission_Factors_for_Cross_Sector_Tools_V2.0_0.xlsx" xr:uid="{EEBFB329-C50D-471E-8133-598ED4A6B375}"/>
    <hyperlink ref="U10" r:id="rId3" display="https://ghgprotocol.org/sites/default/files/2024-05/Emission_Factors_for_Cross_Sector_Tools_V2.0_0.xlsx" xr:uid="{B06BDDEE-FA42-4409-A089-3060584A8F58}"/>
  </hyperlinks>
  <pageMargins left="0.23622047244094491" right="0.23622047244094491" top="0.15748031496062992" bottom="0.15748031496062992" header="0.11811023622047245" footer="0.11811023622047245"/>
  <pageSetup scale="76" fitToHeight="0" orientation="landscape" r:id="rId4"/>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EEC6-15F9-4392-9D22-133C9452C869}">
  <sheetPr>
    <pageSetUpPr fitToPage="1"/>
  </sheetPr>
  <dimension ref="A1:AF85"/>
  <sheetViews>
    <sheetView zoomScaleNormal="100" workbookViewId="0">
      <selection activeCell="R26" sqref="R26"/>
    </sheetView>
  </sheetViews>
  <sheetFormatPr defaultColWidth="0" defaultRowHeight="14.25" customHeight="1" zeroHeight="1" x14ac:dyDescent="0.3"/>
  <cols>
    <col min="1" max="1" width="1.6640625" style="269" customWidth="1"/>
    <col min="2" max="2" width="17.44140625" style="269" customWidth="1"/>
    <col min="3" max="3" width="20.21875" style="269" customWidth="1"/>
    <col min="4" max="4" width="17.33203125" style="269" customWidth="1"/>
    <col min="5" max="5" width="13.33203125" style="269" customWidth="1"/>
    <col min="6" max="6" width="1.21875" style="269" customWidth="1"/>
    <col min="7" max="8" width="0.77734375" style="269" customWidth="1"/>
    <col min="9" max="9" width="13.109375" style="269" customWidth="1"/>
    <col min="10" max="10" width="14.5546875" style="269" customWidth="1"/>
    <col min="11" max="11" width="5.21875" style="269" customWidth="1"/>
    <col min="12" max="12" width="13.77734375" style="269" customWidth="1"/>
    <col min="13" max="13" width="10.44140625" style="269" customWidth="1"/>
    <col min="14" max="14" width="1.6640625" style="269" customWidth="1"/>
    <col min="15" max="15" width="3.44140625" style="269" customWidth="1"/>
    <col min="16" max="16" width="27.77734375" style="269" customWidth="1"/>
    <col min="17" max="18" width="11.109375" style="269" customWidth="1"/>
    <col min="19" max="19" width="2.88671875" style="270" customWidth="1"/>
    <col min="20" max="25" width="0.5546875" style="271" customWidth="1"/>
    <col min="26" max="32" width="9.109375" style="272" hidden="1" customWidth="1"/>
    <col min="33" max="16384" width="9.109375" style="270" hidden="1"/>
  </cols>
  <sheetData>
    <row r="1" spans="1:32" s="419" customFormat="1" ht="6.45" customHeight="1" x14ac:dyDescent="0.3">
      <c r="A1" s="376"/>
      <c r="B1" s="376"/>
      <c r="C1" s="376"/>
      <c r="D1" s="376"/>
      <c r="E1" s="376"/>
      <c r="F1" s="376"/>
      <c r="G1" s="376"/>
      <c r="H1" s="376"/>
      <c r="I1" s="376"/>
      <c r="J1" s="376"/>
      <c r="K1" s="376"/>
      <c r="L1" s="376"/>
      <c r="M1" s="376"/>
      <c r="N1" s="376"/>
      <c r="T1" s="422"/>
      <c r="U1" s="422"/>
      <c r="V1" s="422"/>
      <c r="W1" s="422"/>
      <c r="X1" s="422"/>
      <c r="Y1" s="422"/>
      <c r="Z1" s="423"/>
      <c r="AA1" s="423"/>
      <c r="AB1" s="423"/>
      <c r="AC1" s="423"/>
      <c r="AD1" s="423"/>
      <c r="AE1" s="423"/>
      <c r="AF1" s="423"/>
    </row>
    <row r="2" spans="1:32" s="419" customFormat="1" ht="34.200000000000003" customHeight="1" x14ac:dyDescent="0.3">
      <c r="A2" s="377" t="s">
        <v>158</v>
      </c>
      <c r="B2" s="377"/>
      <c r="C2" s="377"/>
      <c r="D2" s="377"/>
      <c r="E2" s="377"/>
      <c r="F2" s="377"/>
      <c r="G2" s="378"/>
      <c r="H2" s="379"/>
      <c r="I2" s="380" t="str">
        <f>IF(Company_Year!C3="","Company",Company_Year!C3)</f>
        <v>Company</v>
      </c>
      <c r="J2" s="380"/>
      <c r="K2" s="380"/>
      <c r="L2" s="380"/>
      <c r="M2" s="380"/>
      <c r="N2" s="381"/>
      <c r="T2" s="422"/>
      <c r="U2" s="422"/>
      <c r="V2" s="422"/>
      <c r="W2" s="422"/>
      <c r="X2" s="422"/>
      <c r="Y2" s="422"/>
      <c r="Z2" s="423"/>
      <c r="AA2" s="423"/>
      <c r="AB2" s="423"/>
      <c r="AC2" s="423"/>
      <c r="AD2" s="423"/>
      <c r="AE2" s="423"/>
      <c r="AF2" s="423"/>
    </row>
    <row r="3" spans="1:32" s="419" customFormat="1" ht="19.5" customHeight="1" x14ac:dyDescent="0.3">
      <c r="A3" s="382"/>
      <c r="B3" s="382"/>
      <c r="C3" s="383">
        <f>IF(Company_Year!F3="","YEAR",Company_Year!F3)</f>
        <v>2025</v>
      </c>
      <c r="D3" s="383"/>
      <c r="E3" s="383"/>
      <c r="F3" s="383"/>
      <c r="G3" s="384"/>
      <c r="H3" s="376"/>
      <c r="I3" s="385" t="str">
        <f>IF(Company_Year!C4="","Address",Company_Year!C4)</f>
        <v>Address</v>
      </c>
      <c r="J3" s="385"/>
      <c r="K3" s="385"/>
      <c r="L3" s="385"/>
      <c r="M3" s="385"/>
      <c r="N3" s="386"/>
      <c r="T3" s="422"/>
      <c r="U3" s="422"/>
      <c r="V3" s="422"/>
      <c r="W3" s="422"/>
      <c r="X3" s="422"/>
      <c r="Y3" s="422"/>
      <c r="Z3" s="423"/>
      <c r="AA3" s="423"/>
      <c r="AB3" s="423"/>
      <c r="AC3" s="423"/>
      <c r="AD3" s="423"/>
      <c r="AE3" s="423"/>
      <c r="AF3" s="423"/>
    </row>
    <row r="4" spans="1:32" s="419" customFormat="1" ht="25.8" customHeight="1" x14ac:dyDescent="0.3">
      <c r="A4" s="382"/>
      <c r="B4" s="382"/>
      <c r="C4" s="383"/>
      <c r="D4" s="383"/>
      <c r="E4" s="383"/>
      <c r="F4" s="383"/>
      <c r="G4" s="384"/>
      <c r="H4" s="376"/>
      <c r="I4" s="385"/>
      <c r="J4" s="385"/>
      <c r="K4" s="385"/>
      <c r="L4" s="385"/>
      <c r="M4" s="385"/>
      <c r="N4" s="376"/>
      <c r="T4" s="422"/>
      <c r="U4" s="422"/>
      <c r="V4" s="422"/>
      <c r="W4" s="422"/>
      <c r="X4" s="422"/>
      <c r="Y4" s="422"/>
      <c r="Z4" s="423"/>
      <c r="AA4" s="423"/>
      <c r="AB4" s="423"/>
      <c r="AC4" s="423"/>
      <c r="AD4" s="423"/>
      <c r="AE4" s="423"/>
      <c r="AF4" s="423"/>
    </row>
    <row r="5" spans="1:32" s="419" customFormat="1" ht="13.8" x14ac:dyDescent="0.3">
      <c r="A5" s="376"/>
      <c r="B5" s="376"/>
      <c r="C5" s="376"/>
      <c r="D5" s="376"/>
      <c r="E5" s="376"/>
      <c r="F5" s="376"/>
      <c r="G5" s="376"/>
      <c r="H5" s="376"/>
      <c r="I5" s="376"/>
      <c r="J5" s="376"/>
      <c r="K5" s="376"/>
      <c r="L5" s="376"/>
      <c r="M5" s="376"/>
      <c r="N5" s="376"/>
      <c r="T5" s="422"/>
      <c r="U5" s="422"/>
      <c r="V5" s="422"/>
      <c r="W5" s="422"/>
      <c r="X5" s="422"/>
      <c r="Y5" s="422"/>
      <c r="Z5" s="423"/>
      <c r="AA5" s="423"/>
      <c r="AB5" s="423"/>
      <c r="AC5" s="423"/>
      <c r="AD5" s="423"/>
      <c r="AE5" s="423"/>
      <c r="AF5" s="423"/>
    </row>
    <row r="6" spans="1:32" ht="10.050000000000001" customHeight="1" x14ac:dyDescent="0.3">
      <c r="A6" s="387" t="s">
        <v>159</v>
      </c>
      <c r="B6" s="387"/>
      <c r="C6" s="387"/>
      <c r="D6" s="387"/>
      <c r="E6" s="387"/>
      <c r="F6" s="387"/>
      <c r="G6" s="388"/>
      <c r="H6" s="388"/>
      <c r="I6" s="387" t="s">
        <v>160</v>
      </c>
      <c r="J6" s="387"/>
      <c r="K6" s="387"/>
      <c r="L6" s="387"/>
      <c r="M6" s="387"/>
      <c r="N6" s="389"/>
      <c r="P6" s="354" t="s">
        <v>161</v>
      </c>
      <c r="Q6" s="354"/>
      <c r="T6" s="356" t="s">
        <v>160</v>
      </c>
      <c r="U6" s="356"/>
    </row>
    <row r="7" spans="1:32" ht="10.050000000000001" customHeight="1" x14ac:dyDescent="0.3">
      <c r="A7" s="387"/>
      <c r="B7" s="387"/>
      <c r="C7" s="387"/>
      <c r="D7" s="387"/>
      <c r="E7" s="387"/>
      <c r="F7" s="387"/>
      <c r="G7" s="388"/>
      <c r="H7" s="388"/>
      <c r="I7" s="387"/>
      <c r="J7" s="387"/>
      <c r="K7" s="387"/>
      <c r="L7" s="387"/>
      <c r="M7" s="387"/>
      <c r="N7" s="389"/>
      <c r="P7" s="355"/>
      <c r="Q7" s="355"/>
      <c r="T7" s="273" t="s">
        <v>162</v>
      </c>
      <c r="U7" s="274">
        <f>Company_Year!I7</f>
        <v>0</v>
      </c>
    </row>
    <row r="8" spans="1:32" ht="10.050000000000001" customHeight="1" x14ac:dyDescent="0.3">
      <c r="A8" s="390"/>
      <c r="B8" s="390"/>
      <c r="C8" s="390"/>
      <c r="D8" s="390"/>
      <c r="E8" s="390"/>
      <c r="F8" s="391"/>
      <c r="G8" s="388"/>
      <c r="H8" s="388"/>
      <c r="I8" s="390"/>
      <c r="J8" s="390"/>
      <c r="K8" s="390"/>
      <c r="L8" s="390"/>
      <c r="M8" s="390"/>
      <c r="N8" s="391"/>
      <c r="P8" s="357" t="s">
        <v>163</v>
      </c>
      <c r="Q8" s="359" t="s">
        <v>191</v>
      </c>
      <c r="T8" s="273" t="s">
        <v>164</v>
      </c>
      <c r="U8" s="274">
        <f>SUM(Company_Year!Z17:Z18)-U7</f>
        <v>0</v>
      </c>
      <c r="V8" s="275"/>
      <c r="Y8" s="275"/>
      <c r="Z8" s="270"/>
      <c r="AA8" s="270"/>
      <c r="AB8" s="270"/>
      <c r="AC8" s="270"/>
      <c r="AD8" s="270"/>
      <c r="AE8" s="270"/>
      <c r="AF8" s="270"/>
    </row>
    <row r="9" spans="1:32" ht="10.050000000000001" customHeight="1" x14ac:dyDescent="0.3">
      <c r="A9" s="390"/>
      <c r="B9" s="392" t="s">
        <v>165</v>
      </c>
      <c r="C9" s="392"/>
      <c r="D9" s="393">
        <f>SUM(Company_Year!AA22:AA28)</f>
        <v>0</v>
      </c>
      <c r="E9" s="394" t="s">
        <v>91</v>
      </c>
      <c r="F9" s="391"/>
      <c r="G9" s="388"/>
      <c r="H9" s="388"/>
      <c r="I9" s="395"/>
      <c r="J9" s="395"/>
      <c r="K9" s="396"/>
      <c r="L9" s="396"/>
      <c r="M9" s="397" t="e" vm="1">
        <v>#VALUE!</v>
      </c>
      <c r="N9" s="394"/>
      <c r="P9" s="357"/>
      <c r="Q9" s="360"/>
      <c r="V9" s="275"/>
      <c r="Y9" s="275"/>
      <c r="Z9" s="270"/>
      <c r="AA9" s="270"/>
      <c r="AB9" s="270"/>
      <c r="AC9" s="270"/>
      <c r="AD9" s="270"/>
      <c r="AE9" s="270"/>
      <c r="AF9" s="270"/>
    </row>
    <row r="10" spans="1:32" ht="10.050000000000001" customHeight="1" x14ac:dyDescent="0.3">
      <c r="A10" s="390"/>
      <c r="B10" s="392"/>
      <c r="C10" s="392"/>
      <c r="D10" s="393"/>
      <c r="E10" s="394"/>
      <c r="F10" s="391"/>
      <c r="G10" s="388"/>
      <c r="H10" s="388"/>
      <c r="I10" s="395"/>
      <c r="J10" s="395"/>
      <c r="K10" s="396"/>
      <c r="L10" s="396"/>
      <c r="M10" s="397"/>
      <c r="N10" s="394"/>
      <c r="P10" s="358"/>
      <c r="Q10" s="361"/>
      <c r="T10" s="356" t="s">
        <v>166</v>
      </c>
      <c r="U10" s="356"/>
      <c r="V10" s="275"/>
      <c r="Y10" s="275"/>
      <c r="Z10" s="270"/>
      <c r="AA10" s="270"/>
      <c r="AB10" s="270"/>
      <c r="AC10" s="270"/>
      <c r="AD10" s="270"/>
      <c r="AE10" s="270"/>
      <c r="AF10" s="270"/>
    </row>
    <row r="11" spans="1:32" ht="10.050000000000001" customHeight="1" x14ac:dyDescent="0.3">
      <c r="A11" s="395"/>
      <c r="B11" s="392" t="s">
        <v>101</v>
      </c>
      <c r="C11" s="392"/>
      <c r="D11" s="393">
        <f>Company_Year!AA36</f>
        <v>0</v>
      </c>
      <c r="E11" s="394" t="s">
        <v>91</v>
      </c>
      <c r="F11" s="391"/>
      <c r="G11" s="388"/>
      <c r="H11" s="388"/>
      <c r="I11" s="392"/>
      <c r="J11" s="392"/>
      <c r="K11" s="396"/>
      <c r="L11" s="396"/>
      <c r="M11" s="397"/>
      <c r="N11" s="394"/>
      <c r="P11" s="357" t="s">
        <v>167</v>
      </c>
      <c r="Q11" s="359" t="s">
        <v>168</v>
      </c>
      <c r="T11" s="273" t="s">
        <v>118</v>
      </c>
      <c r="U11" s="274">
        <f>SUM(Company_Year!AA22:AA25)</f>
        <v>0</v>
      </c>
      <c r="V11" s="275"/>
      <c r="Y11" s="275"/>
      <c r="Z11" s="270"/>
      <c r="AA11" s="270"/>
      <c r="AB11" s="270"/>
      <c r="AC11" s="270"/>
      <c r="AD11" s="270"/>
      <c r="AE11" s="270"/>
      <c r="AF11" s="270"/>
    </row>
    <row r="12" spans="1:32" ht="10.050000000000001" customHeight="1" x14ac:dyDescent="0.3">
      <c r="A12" s="395"/>
      <c r="B12" s="392"/>
      <c r="C12" s="392"/>
      <c r="D12" s="393"/>
      <c r="E12" s="394"/>
      <c r="F12" s="391"/>
      <c r="G12" s="388"/>
      <c r="H12" s="388"/>
      <c r="I12" s="392"/>
      <c r="J12" s="392"/>
      <c r="K12" s="396"/>
      <c r="L12" s="396"/>
      <c r="M12" s="397"/>
      <c r="N12" s="394"/>
      <c r="P12" s="357"/>
      <c r="Q12" s="360"/>
      <c r="T12" s="273" t="s">
        <v>169</v>
      </c>
      <c r="U12" s="274">
        <f>SUM(Company_Year!AA26)</f>
        <v>0</v>
      </c>
      <c r="V12" s="275"/>
      <c r="Y12" s="275"/>
      <c r="Z12" s="270"/>
      <c r="AA12" s="270"/>
      <c r="AB12" s="270"/>
      <c r="AC12" s="270"/>
      <c r="AD12" s="270"/>
      <c r="AE12" s="270"/>
      <c r="AF12" s="270"/>
    </row>
    <row r="13" spans="1:32" ht="10.050000000000001" customHeight="1" x14ac:dyDescent="0.3">
      <c r="A13" s="395"/>
      <c r="B13" s="392" t="s">
        <v>170</v>
      </c>
      <c r="C13" s="392"/>
      <c r="D13" s="393">
        <f>SUM(Company_Year!AA29:AA35)</f>
        <v>0</v>
      </c>
      <c r="E13" s="394" t="s">
        <v>91</v>
      </c>
      <c r="F13" s="391"/>
      <c r="G13" s="388"/>
      <c r="H13" s="388"/>
      <c r="I13" s="392"/>
      <c r="J13" s="392"/>
      <c r="K13" s="396"/>
      <c r="L13" s="396"/>
      <c r="M13" s="397"/>
      <c r="N13" s="394"/>
      <c r="P13" s="358"/>
      <c r="Q13" s="361"/>
      <c r="T13" s="273" t="s">
        <v>171</v>
      </c>
      <c r="U13" s="274">
        <f>SUM(Company_Year!AA29:AA34)</f>
        <v>0</v>
      </c>
      <c r="V13" s="275"/>
      <c r="Y13" s="275"/>
      <c r="Z13" s="270"/>
      <c r="AA13" s="270"/>
      <c r="AB13" s="270"/>
      <c r="AC13" s="270"/>
      <c r="AD13" s="270"/>
      <c r="AE13" s="270"/>
      <c r="AF13" s="270"/>
    </row>
    <row r="14" spans="1:32" ht="10.050000000000001" customHeight="1" x14ac:dyDescent="0.3">
      <c r="A14" s="395"/>
      <c r="B14" s="392"/>
      <c r="C14" s="392"/>
      <c r="D14" s="393"/>
      <c r="E14" s="394"/>
      <c r="F14" s="391"/>
      <c r="G14" s="388"/>
      <c r="H14" s="388"/>
      <c r="I14" s="392"/>
      <c r="J14" s="392"/>
      <c r="K14" s="396"/>
      <c r="L14" s="396"/>
      <c r="M14" s="397"/>
      <c r="N14" s="394"/>
      <c r="P14" s="362"/>
      <c r="Q14" s="420">
        <f>IF(C3="YEAR","Previous Year",$C$3-1)</f>
        <v>2024</v>
      </c>
      <c r="R14" s="420">
        <f>IF($C$3="YEAR","Reported Year",$C$3)</f>
        <v>2025</v>
      </c>
      <c r="T14" s="273" t="s">
        <v>92</v>
      </c>
      <c r="U14" s="274">
        <f>Company_Year!AA36</f>
        <v>0</v>
      </c>
      <c r="V14" s="275"/>
      <c r="Y14" s="275"/>
      <c r="Z14" s="270"/>
      <c r="AA14" s="270"/>
      <c r="AB14" s="270"/>
      <c r="AC14" s="270"/>
      <c r="AD14" s="270"/>
      <c r="AE14" s="270"/>
      <c r="AF14" s="270"/>
    </row>
    <row r="15" spans="1:32" ht="10.050000000000001" customHeight="1" x14ac:dyDescent="0.3">
      <c r="A15" s="395"/>
      <c r="B15" s="398" t="s">
        <v>172</v>
      </c>
      <c r="C15" s="398"/>
      <c r="D15" s="399">
        <f>SUM(D9:D14)</f>
        <v>0</v>
      </c>
      <c r="E15" s="400" t="s">
        <v>91</v>
      </c>
      <c r="F15" s="391"/>
      <c r="G15" s="388"/>
      <c r="H15" s="388"/>
      <c r="I15" s="401"/>
      <c r="J15" s="401"/>
      <c r="K15" s="401"/>
      <c r="L15" s="401"/>
      <c r="M15" s="401"/>
      <c r="N15" s="402"/>
      <c r="P15" s="363"/>
      <c r="Q15" s="421"/>
      <c r="R15" s="421"/>
      <c r="T15" s="273" t="s">
        <v>127</v>
      </c>
      <c r="U15" s="274">
        <f>Company_Year!AA35</f>
        <v>0</v>
      </c>
      <c r="V15" s="275"/>
      <c r="Y15" s="275"/>
      <c r="Z15" s="270"/>
      <c r="AA15" s="270"/>
      <c r="AB15" s="270"/>
      <c r="AC15" s="270"/>
      <c r="AD15" s="270"/>
      <c r="AE15" s="270"/>
      <c r="AF15" s="270"/>
    </row>
    <row r="16" spans="1:32" ht="10.050000000000001" customHeight="1" x14ac:dyDescent="0.3">
      <c r="A16" s="395"/>
      <c r="B16" s="403"/>
      <c r="C16" s="403"/>
      <c r="D16" s="404"/>
      <c r="E16" s="405"/>
      <c r="F16" s="402"/>
      <c r="G16" s="388"/>
      <c r="H16" s="388"/>
      <c r="I16" s="401"/>
      <c r="J16" s="401"/>
      <c r="K16" s="401"/>
      <c r="L16" s="401"/>
      <c r="M16" s="401"/>
      <c r="N16" s="402"/>
      <c r="P16" s="357" t="s">
        <v>173</v>
      </c>
      <c r="Q16" s="359">
        <v>0</v>
      </c>
      <c r="R16" s="359">
        <v>0</v>
      </c>
    </row>
    <row r="17" spans="1:25" ht="10.050000000000001" customHeight="1" x14ac:dyDescent="0.3">
      <c r="A17" s="395"/>
      <c r="B17" s="401"/>
      <c r="C17" s="401"/>
      <c r="D17" s="401"/>
      <c r="E17" s="401"/>
      <c r="F17" s="402"/>
      <c r="G17" s="388"/>
      <c r="H17" s="388"/>
      <c r="I17" s="401"/>
      <c r="J17" s="401"/>
      <c r="K17" s="401"/>
      <c r="L17" s="401"/>
      <c r="M17" s="401"/>
      <c r="N17" s="402"/>
      <c r="P17" s="357"/>
      <c r="Q17" s="360"/>
      <c r="R17" s="360"/>
      <c r="T17" s="356" t="s">
        <v>174</v>
      </c>
      <c r="U17" s="356"/>
    </row>
    <row r="18" spans="1:25" ht="10.050000000000001" customHeight="1" x14ac:dyDescent="0.3">
      <c r="A18" s="406"/>
      <c r="B18" s="406"/>
      <c r="C18" s="406"/>
      <c r="D18" s="406"/>
      <c r="E18" s="406"/>
      <c r="F18" s="406"/>
      <c r="G18" s="388"/>
      <c r="H18" s="388"/>
      <c r="I18" s="401"/>
      <c r="J18" s="401"/>
      <c r="K18" s="401"/>
      <c r="L18" s="401"/>
      <c r="M18" s="401"/>
      <c r="N18" s="402"/>
      <c r="P18" s="358"/>
      <c r="Q18" s="361"/>
      <c r="R18" s="361"/>
      <c r="T18" s="273">
        <f>Company_Year!N21</f>
        <v>2024</v>
      </c>
      <c r="U18" s="274">
        <f>Company_Year!C15</f>
        <v>0</v>
      </c>
    </row>
    <row r="19" spans="1:25" ht="10.050000000000001" customHeight="1" x14ac:dyDescent="0.3">
      <c r="A19" s="387" t="s">
        <v>166</v>
      </c>
      <c r="B19" s="387"/>
      <c r="C19" s="387"/>
      <c r="D19" s="387"/>
      <c r="E19" s="387"/>
      <c r="F19" s="387"/>
      <c r="G19" s="388"/>
      <c r="H19" s="388"/>
      <c r="I19" s="401"/>
      <c r="J19" s="401"/>
      <c r="K19" s="401"/>
      <c r="L19" s="401"/>
      <c r="M19" s="401"/>
      <c r="N19" s="402"/>
      <c r="O19" s="419"/>
      <c r="P19" s="419"/>
      <c r="Q19" s="419"/>
      <c r="R19" s="419"/>
      <c r="S19" s="419"/>
      <c r="T19" s="424">
        <f>Company_Year!M21</f>
        <v>2025</v>
      </c>
      <c r="U19" s="425">
        <f>Company_Year!C25</f>
        <v>0</v>
      </c>
      <c r="V19" s="422"/>
      <c r="W19" s="422"/>
      <c r="X19" s="422"/>
      <c r="Y19" s="422"/>
    </row>
    <row r="20" spans="1:25" ht="10.050000000000001" customHeight="1" x14ac:dyDescent="0.3">
      <c r="A20" s="387"/>
      <c r="B20" s="387"/>
      <c r="C20" s="387"/>
      <c r="D20" s="387"/>
      <c r="E20" s="387"/>
      <c r="F20" s="387"/>
      <c r="G20" s="388"/>
      <c r="H20" s="388"/>
      <c r="I20" s="401"/>
      <c r="J20" s="401"/>
      <c r="K20" s="401"/>
      <c r="L20" s="401"/>
      <c r="M20" s="401"/>
      <c r="N20" s="402"/>
      <c r="O20" s="419"/>
      <c r="P20" s="419"/>
      <c r="Q20" s="419"/>
      <c r="R20" s="419"/>
      <c r="S20" s="419"/>
      <c r="T20" s="422"/>
      <c r="U20" s="422"/>
      <c r="V20" s="422"/>
      <c r="W20" s="422"/>
      <c r="X20" s="422"/>
      <c r="Y20" s="422"/>
    </row>
    <row r="21" spans="1:25" ht="10.050000000000001" customHeight="1" x14ac:dyDescent="0.3">
      <c r="A21" s="395"/>
      <c r="B21" s="407" t="e" vm="2">
        <v>#VALUE!</v>
      </c>
      <c r="C21" s="395"/>
      <c r="D21" s="395"/>
      <c r="E21" s="395"/>
      <c r="F21" s="408"/>
      <c r="G21" s="388"/>
      <c r="H21" s="388"/>
      <c r="I21" s="401"/>
      <c r="J21" s="401"/>
      <c r="K21" s="401"/>
      <c r="L21" s="401"/>
      <c r="M21" s="401"/>
      <c r="N21" s="402"/>
      <c r="O21" s="419"/>
      <c r="P21" s="419"/>
      <c r="Q21" s="419"/>
      <c r="R21" s="419"/>
      <c r="S21" s="419"/>
      <c r="T21" s="426" t="s">
        <v>175</v>
      </c>
      <c r="U21" s="427"/>
      <c r="V21" s="427"/>
      <c r="W21" s="427"/>
      <c r="X21" s="427"/>
      <c r="Y21" s="427"/>
    </row>
    <row r="22" spans="1:25" ht="10.050000000000001" customHeight="1" x14ac:dyDescent="0.3">
      <c r="A22" s="401"/>
      <c r="B22" s="407"/>
      <c r="C22" s="401"/>
      <c r="D22" s="401"/>
      <c r="E22" s="401"/>
      <c r="F22" s="402"/>
      <c r="G22" s="388"/>
      <c r="H22" s="388"/>
      <c r="I22" s="401"/>
      <c r="J22" s="401"/>
      <c r="K22" s="401"/>
      <c r="L22" s="401"/>
      <c r="M22" s="401"/>
      <c r="N22" s="402"/>
      <c r="O22" s="419"/>
      <c r="P22" s="419"/>
      <c r="Q22" s="419"/>
      <c r="R22" s="419"/>
      <c r="S22" s="419"/>
      <c r="T22" s="428"/>
      <c r="U22" s="429">
        <f>Q14</f>
        <v>2024</v>
      </c>
      <c r="V22" s="429">
        <f>R14</f>
        <v>2025</v>
      </c>
      <c r="W22" s="428"/>
      <c r="X22" s="429" t="str">
        <f>IF(Q8="yes",U22,"")</f>
        <v/>
      </c>
      <c r="Y22" s="429" t="str">
        <f>IF(Q8="yes",V22,"")</f>
        <v/>
      </c>
    </row>
    <row r="23" spans="1:25" ht="10.050000000000001" customHeight="1" x14ac:dyDescent="0.3">
      <c r="A23" s="401"/>
      <c r="B23" s="407"/>
      <c r="C23" s="401"/>
      <c r="D23" s="401"/>
      <c r="E23" s="401"/>
      <c r="F23" s="402"/>
      <c r="G23" s="388"/>
      <c r="H23" s="388"/>
      <c r="I23" s="401"/>
      <c r="J23" s="401"/>
      <c r="K23" s="401"/>
      <c r="L23" s="401"/>
      <c r="M23" s="401"/>
      <c r="N23" s="402"/>
      <c r="O23" s="419"/>
      <c r="P23" s="419"/>
      <c r="Q23" s="419"/>
      <c r="R23" s="419"/>
      <c r="S23" s="419"/>
      <c r="T23" s="424" t="s">
        <v>176</v>
      </c>
      <c r="U23" s="430" t="e">
        <f>1000*Company_Year!N23</f>
        <v>#VALUE!</v>
      </c>
      <c r="V23" s="430" t="e">
        <f>1000*Company_Year!M23</f>
        <v>#VALUE!</v>
      </c>
      <c r="W23" s="424" t="str">
        <f>IF(Q8="Yes","per "&amp;Q11,"")</f>
        <v/>
      </c>
      <c r="X23" s="430" t="str">
        <f>IF(Q8="yes",1000*Company_Year!C15/Q16,"")</f>
        <v/>
      </c>
      <c r="Y23" s="430" t="str">
        <f>IF(Q8="yes",1000*Company_Year!C25/R16,"")</f>
        <v/>
      </c>
    </row>
    <row r="24" spans="1:25" ht="10.050000000000001" customHeight="1" x14ac:dyDescent="0.3">
      <c r="A24" s="401"/>
      <c r="B24" s="407"/>
      <c r="C24" s="401"/>
      <c r="D24" s="401"/>
      <c r="E24" s="401"/>
      <c r="F24" s="402"/>
      <c r="G24" s="388"/>
      <c r="H24" s="388"/>
      <c r="I24" s="401"/>
      <c r="J24" s="401"/>
      <c r="K24" s="401"/>
      <c r="L24" s="401"/>
      <c r="M24" s="401"/>
      <c r="N24" s="402"/>
      <c r="O24" s="419"/>
      <c r="P24" s="419"/>
      <c r="Q24" s="419"/>
      <c r="R24" s="419"/>
      <c r="S24" s="419"/>
      <c r="T24" s="424" t="s">
        <v>177</v>
      </c>
      <c r="U24" s="430" t="e">
        <f>1000*Company_Year!N25</f>
        <v>#VALUE!</v>
      </c>
      <c r="V24" s="430" t="e">
        <f>1000*Company_Year!M25</f>
        <v>#VALUE!</v>
      </c>
      <c r="W24" s="422"/>
      <c r="X24" s="422"/>
      <c r="Y24" s="422"/>
    </row>
    <row r="25" spans="1:25" ht="10.050000000000001" customHeight="1" x14ac:dyDescent="0.3">
      <c r="A25" s="401"/>
      <c r="B25" s="407"/>
      <c r="C25" s="401"/>
      <c r="D25" s="401"/>
      <c r="E25" s="401"/>
      <c r="F25" s="402"/>
      <c r="G25" s="388"/>
      <c r="H25" s="388"/>
      <c r="I25" s="401"/>
      <c r="J25" s="401"/>
      <c r="K25" s="401"/>
      <c r="L25" s="401"/>
      <c r="M25" s="401"/>
      <c r="N25" s="402"/>
      <c r="O25" s="419"/>
      <c r="P25" s="419"/>
      <c r="Q25" s="419"/>
      <c r="R25" s="419"/>
      <c r="S25" s="419"/>
      <c r="T25" s="422"/>
      <c r="U25" s="422"/>
      <c r="V25" s="422"/>
      <c r="W25" s="422"/>
      <c r="X25" s="422"/>
      <c r="Y25" s="422"/>
    </row>
    <row r="26" spans="1:25" ht="10.050000000000001" customHeight="1" x14ac:dyDescent="0.3">
      <c r="A26" s="401"/>
      <c r="B26" s="407"/>
      <c r="C26" s="401"/>
      <c r="D26" s="401"/>
      <c r="E26" s="401"/>
      <c r="F26" s="402"/>
      <c r="G26" s="388"/>
      <c r="H26" s="388"/>
      <c r="I26" s="401"/>
      <c r="J26" s="401"/>
      <c r="K26" s="401"/>
      <c r="L26" s="401"/>
      <c r="M26" s="401"/>
      <c r="N26" s="402"/>
      <c r="O26" s="419"/>
      <c r="P26" s="419"/>
      <c r="Q26" s="419"/>
      <c r="R26" s="419"/>
      <c r="S26" s="419"/>
      <c r="T26" s="431"/>
      <c r="U26" s="431"/>
      <c r="V26" s="431"/>
      <c r="W26" s="422"/>
      <c r="X26" s="422"/>
      <c r="Y26" s="422"/>
    </row>
    <row r="27" spans="1:25" ht="10.050000000000001" customHeight="1" x14ac:dyDescent="0.3">
      <c r="A27" s="401"/>
      <c r="B27" s="401"/>
      <c r="C27" s="401"/>
      <c r="D27" s="401"/>
      <c r="E27" s="401"/>
      <c r="F27" s="402"/>
      <c r="G27" s="388"/>
      <c r="H27" s="388"/>
      <c r="I27" s="401"/>
      <c r="J27" s="401"/>
      <c r="K27" s="401"/>
      <c r="L27" s="401"/>
      <c r="M27" s="401"/>
      <c r="N27" s="402"/>
      <c r="O27" s="419"/>
      <c r="P27" s="419"/>
      <c r="Q27" s="419"/>
      <c r="R27" s="419"/>
      <c r="S27" s="419"/>
      <c r="T27" s="422"/>
      <c r="U27" s="422"/>
      <c r="V27" s="422"/>
      <c r="W27" s="422"/>
      <c r="X27" s="422"/>
      <c r="Y27" s="422"/>
    </row>
    <row r="28" spans="1:25" ht="10.050000000000001" customHeight="1" x14ac:dyDescent="0.3">
      <c r="A28" s="401"/>
      <c r="B28" s="401"/>
      <c r="C28" s="401"/>
      <c r="D28" s="401"/>
      <c r="E28" s="401"/>
      <c r="F28" s="402"/>
      <c r="G28" s="388"/>
      <c r="H28" s="388"/>
      <c r="I28" s="388"/>
      <c r="J28" s="388"/>
      <c r="K28" s="388"/>
      <c r="L28" s="388"/>
      <c r="M28" s="388"/>
      <c r="N28" s="388"/>
      <c r="O28" s="419"/>
      <c r="P28" s="419"/>
      <c r="Q28" s="419"/>
      <c r="R28" s="419"/>
      <c r="S28" s="419"/>
      <c r="T28" s="432" t="s">
        <v>178</v>
      </c>
      <c r="U28" s="432"/>
      <c r="V28" s="432"/>
      <c r="W28" s="422"/>
      <c r="X28" s="422"/>
      <c r="Y28" s="422"/>
    </row>
    <row r="29" spans="1:25" ht="10.050000000000001" customHeight="1" x14ac:dyDescent="0.3">
      <c r="A29" s="401"/>
      <c r="B29" s="401"/>
      <c r="C29" s="401"/>
      <c r="D29" s="401"/>
      <c r="E29" s="401"/>
      <c r="F29" s="402"/>
      <c r="G29" s="388"/>
      <c r="H29" s="388"/>
      <c r="I29" s="387" t="str">
        <f>"EMISSION BENCHMARKING "&amp;C3</f>
        <v>EMISSION BENCHMARKING 2025</v>
      </c>
      <c r="J29" s="387"/>
      <c r="K29" s="387"/>
      <c r="L29" s="387"/>
      <c r="M29" s="387"/>
      <c r="N29" s="389"/>
      <c r="O29" s="419"/>
      <c r="P29" s="419"/>
      <c r="Q29" s="419"/>
      <c r="R29" s="419"/>
      <c r="S29" s="419"/>
      <c r="T29" s="424" t="s">
        <v>122</v>
      </c>
      <c r="U29" s="425">
        <f>Company_Year!D25</f>
        <v>0</v>
      </c>
      <c r="V29" s="433" t="e">
        <f>U29/U30</f>
        <v>#DIV/0!</v>
      </c>
      <c r="W29" s="422"/>
      <c r="X29" s="422"/>
      <c r="Y29" s="422"/>
    </row>
    <row r="30" spans="1:25" ht="10.050000000000001" customHeight="1" x14ac:dyDescent="0.3">
      <c r="A30" s="401"/>
      <c r="B30" s="401"/>
      <c r="C30" s="401"/>
      <c r="D30" s="401"/>
      <c r="E30" s="401"/>
      <c r="F30" s="402"/>
      <c r="G30" s="388"/>
      <c r="H30" s="388"/>
      <c r="I30" s="387"/>
      <c r="J30" s="387"/>
      <c r="K30" s="387"/>
      <c r="L30" s="387"/>
      <c r="M30" s="387"/>
      <c r="N30" s="389"/>
      <c r="O30" s="419"/>
      <c r="P30" s="419"/>
      <c r="Q30" s="419"/>
      <c r="R30" s="419"/>
      <c r="S30" s="419"/>
      <c r="T30" s="424" t="s">
        <v>179</v>
      </c>
      <c r="U30" s="425">
        <f>U29+Company_Year!C25</f>
        <v>0</v>
      </c>
      <c r="V30" s="433" t="e">
        <f>U30/U30</f>
        <v>#DIV/0!</v>
      </c>
      <c r="W30" s="422"/>
      <c r="X30" s="422"/>
      <c r="Y30" s="422"/>
    </row>
    <row r="31" spans="1:25" ht="10.050000000000001" customHeight="1" x14ac:dyDescent="0.3">
      <c r="A31" s="401"/>
      <c r="B31" s="401"/>
      <c r="C31" s="401"/>
      <c r="D31" s="401"/>
      <c r="E31" s="401"/>
      <c r="F31" s="402"/>
      <c r="G31" s="388"/>
      <c r="H31" s="388"/>
      <c r="I31" s="387"/>
      <c r="J31" s="387"/>
      <c r="K31" s="387"/>
      <c r="L31" s="387"/>
      <c r="M31" s="387"/>
      <c r="N31" s="391"/>
      <c r="O31" s="419"/>
      <c r="P31" s="419"/>
      <c r="Q31" s="419"/>
      <c r="R31" s="419"/>
      <c r="S31" s="419"/>
      <c r="T31" s="422"/>
      <c r="U31" s="422"/>
      <c r="V31" s="422"/>
      <c r="W31" s="422"/>
      <c r="X31" s="422"/>
      <c r="Y31" s="422"/>
    </row>
    <row r="32" spans="1:25" ht="10.050000000000001" customHeight="1" x14ac:dyDescent="0.3">
      <c r="A32" s="401"/>
      <c r="B32" s="401"/>
      <c r="C32" s="401"/>
      <c r="D32" s="401"/>
      <c r="E32" s="401"/>
      <c r="F32" s="402"/>
      <c r="G32" s="388"/>
      <c r="H32" s="388"/>
      <c r="I32" s="409" t="e" vm="3">
        <v>#VALUE!</v>
      </c>
      <c r="J32" s="392" t="s">
        <v>180</v>
      </c>
      <c r="K32" s="392"/>
      <c r="L32" s="393" t="str">
        <f>Company_Year!C26</f>
        <v>-</v>
      </c>
      <c r="M32" s="394" t="s">
        <v>181</v>
      </c>
      <c r="N32" s="394"/>
      <c r="O32" s="419"/>
      <c r="P32" s="419"/>
      <c r="Q32" s="419"/>
      <c r="R32" s="419"/>
      <c r="S32" s="419"/>
      <c r="T32" s="422"/>
      <c r="U32" s="422"/>
      <c r="V32" s="422"/>
      <c r="W32" s="422"/>
      <c r="X32" s="422"/>
      <c r="Y32" s="422"/>
    </row>
    <row r="33" spans="1:25" ht="10.050000000000001" customHeight="1" x14ac:dyDescent="0.3">
      <c r="A33" s="401"/>
      <c r="B33" s="401"/>
      <c r="C33" s="401"/>
      <c r="D33" s="401"/>
      <c r="E33" s="401"/>
      <c r="F33" s="402"/>
      <c r="G33" s="388"/>
      <c r="H33" s="388"/>
      <c r="I33" s="409"/>
      <c r="J33" s="392"/>
      <c r="K33" s="392"/>
      <c r="L33" s="393"/>
      <c r="M33" s="394"/>
      <c r="N33" s="394"/>
      <c r="O33" s="419"/>
      <c r="P33" s="419"/>
      <c r="Q33" s="419"/>
      <c r="R33" s="419"/>
      <c r="S33" s="419"/>
      <c r="T33" s="432" t="s">
        <v>182</v>
      </c>
      <c r="U33" s="432"/>
      <c r="V33" s="432"/>
      <c r="W33" s="432"/>
      <c r="X33" s="422"/>
      <c r="Y33" s="422"/>
    </row>
    <row r="34" spans="1:25" ht="10.050000000000001" customHeight="1" x14ac:dyDescent="0.3">
      <c r="A34" s="401"/>
      <c r="B34" s="401"/>
      <c r="C34" s="401"/>
      <c r="D34" s="401"/>
      <c r="E34" s="401"/>
      <c r="F34" s="402"/>
      <c r="G34" s="388"/>
      <c r="H34" s="388"/>
      <c r="I34" s="409"/>
      <c r="J34" s="392" t="s">
        <v>183</v>
      </c>
      <c r="K34" s="392"/>
      <c r="L34" s="393" t="str">
        <f>IFERROR(V23,"")</f>
        <v/>
      </c>
      <c r="M34" s="394" t="s">
        <v>181</v>
      </c>
      <c r="N34" s="394"/>
      <c r="O34" s="419"/>
      <c r="P34" s="419"/>
      <c r="Q34" s="419"/>
      <c r="R34" s="419"/>
      <c r="S34" s="419"/>
      <c r="T34" s="429"/>
      <c r="U34" s="429" t="s">
        <v>184</v>
      </c>
      <c r="V34" s="429" t="s">
        <v>185</v>
      </c>
      <c r="W34" s="429" t="s">
        <v>186</v>
      </c>
      <c r="X34" s="422"/>
      <c r="Y34" s="422"/>
    </row>
    <row r="35" spans="1:25" ht="10.050000000000001" customHeight="1" x14ac:dyDescent="0.3">
      <c r="A35" s="401"/>
      <c r="B35" s="401"/>
      <c r="C35" s="401"/>
      <c r="D35" s="401"/>
      <c r="E35" s="401"/>
      <c r="F35" s="402"/>
      <c r="G35" s="388"/>
      <c r="H35" s="388"/>
      <c r="I35" s="409"/>
      <c r="J35" s="392"/>
      <c r="K35" s="392"/>
      <c r="L35" s="393"/>
      <c r="M35" s="394"/>
      <c r="N35" s="394"/>
      <c r="O35" s="419"/>
      <c r="P35" s="419"/>
      <c r="Q35" s="423"/>
      <c r="R35" s="419"/>
      <c r="S35" s="419"/>
      <c r="T35" s="424" t="s">
        <v>187</v>
      </c>
      <c r="U35" s="425">
        <v>0.08</v>
      </c>
      <c r="V35" s="434">
        <v>7.4999999999999997E-2</v>
      </c>
      <c r="W35" s="425">
        <v>0.05</v>
      </c>
      <c r="X35" s="422"/>
      <c r="Y35" s="422"/>
    </row>
    <row r="36" spans="1:25" ht="10.050000000000001" customHeight="1" x14ac:dyDescent="0.3">
      <c r="A36" s="401"/>
      <c r="B36" s="401"/>
      <c r="C36" s="401"/>
      <c r="D36" s="401"/>
      <c r="E36" s="401"/>
      <c r="F36" s="402"/>
      <c r="G36" s="388"/>
      <c r="H36" s="388"/>
      <c r="I36" s="409"/>
      <c r="J36" s="392" t="s">
        <v>177</v>
      </c>
      <c r="K36" s="392"/>
      <c r="L36" s="393" t="str">
        <f>IFERROR(V24,"")</f>
        <v/>
      </c>
      <c r="M36" s="394" t="s">
        <v>181</v>
      </c>
      <c r="N36" s="394"/>
      <c r="O36" s="419"/>
      <c r="P36" s="419"/>
      <c r="Q36" s="423"/>
      <c r="R36" s="419"/>
      <c r="S36" s="419"/>
      <c r="T36" s="424" t="s">
        <v>188</v>
      </c>
      <c r="U36" s="425">
        <v>0.05</v>
      </c>
      <c r="V36" s="434">
        <v>7.4999999999999997E-2</v>
      </c>
      <c r="W36" s="425">
        <v>0.05</v>
      </c>
      <c r="X36" s="422"/>
      <c r="Y36" s="422"/>
    </row>
    <row r="37" spans="1:25" ht="10.050000000000001" customHeight="1" x14ac:dyDescent="0.3">
      <c r="A37" s="401"/>
      <c r="B37" s="401"/>
      <c r="C37" s="401"/>
      <c r="D37" s="401"/>
      <c r="E37" s="401"/>
      <c r="F37" s="402"/>
      <c r="G37" s="388"/>
      <c r="H37" s="388"/>
      <c r="I37" s="409"/>
      <c r="J37" s="392"/>
      <c r="K37" s="392"/>
      <c r="L37" s="393"/>
      <c r="M37" s="394"/>
      <c r="N37" s="394"/>
      <c r="O37" s="419"/>
      <c r="P37" s="419"/>
      <c r="Q37" s="423"/>
      <c r="R37" s="419"/>
      <c r="S37" s="419"/>
      <c r="T37" s="424" t="s">
        <v>35</v>
      </c>
      <c r="U37" s="425">
        <v>1</v>
      </c>
      <c r="V37" s="434">
        <v>28</v>
      </c>
      <c r="W37" s="425">
        <v>265</v>
      </c>
      <c r="X37" s="422"/>
      <c r="Y37" s="422"/>
    </row>
    <row r="38" spans="1:25" ht="10.050000000000001" customHeight="1" x14ac:dyDescent="0.3">
      <c r="A38" s="401"/>
      <c r="B38" s="401"/>
      <c r="C38" s="401"/>
      <c r="D38" s="401"/>
      <c r="E38" s="401"/>
      <c r="F38" s="402"/>
      <c r="G38" s="388"/>
      <c r="H38" s="388"/>
      <c r="I38" s="395"/>
      <c r="J38" s="392" t="s">
        <v>189</v>
      </c>
      <c r="K38" s="392"/>
      <c r="L38" s="393" t="str">
        <f>IFERROR(Company_Year!M22,"")</f>
        <v>N/A</v>
      </c>
      <c r="M38" s="394" t="s">
        <v>181</v>
      </c>
      <c r="N38" s="402"/>
      <c r="O38" s="419"/>
      <c r="P38" s="419"/>
      <c r="Q38" s="423"/>
      <c r="R38" s="419"/>
      <c r="S38" s="419"/>
      <c r="T38" s="422"/>
      <c r="U38" s="422"/>
      <c r="V38" s="422"/>
      <c r="W38" s="422"/>
      <c r="X38" s="422"/>
      <c r="Y38" s="422"/>
    </row>
    <row r="39" spans="1:25" ht="10.050000000000001" customHeight="1" x14ac:dyDescent="0.3">
      <c r="A39" s="401"/>
      <c r="B39" s="401"/>
      <c r="C39" s="401"/>
      <c r="D39" s="401"/>
      <c r="E39" s="401"/>
      <c r="F39" s="402"/>
      <c r="G39" s="388"/>
      <c r="H39" s="388"/>
      <c r="I39" s="395"/>
      <c r="J39" s="392"/>
      <c r="K39" s="392"/>
      <c r="L39" s="393"/>
      <c r="M39" s="394"/>
      <c r="N39" s="402"/>
      <c r="O39" s="419"/>
      <c r="P39" s="419"/>
      <c r="Q39" s="423"/>
      <c r="R39" s="419"/>
      <c r="S39" s="419"/>
      <c r="T39" s="422"/>
      <c r="U39" s="422"/>
      <c r="V39" s="422"/>
      <c r="W39" s="422"/>
      <c r="X39" s="422"/>
      <c r="Y39" s="422"/>
    </row>
    <row r="40" spans="1:25" ht="10.050000000000001" customHeight="1" x14ac:dyDescent="0.3">
      <c r="A40" s="401"/>
      <c r="B40" s="401"/>
      <c r="C40" s="401"/>
      <c r="D40" s="401"/>
      <c r="E40" s="401"/>
      <c r="F40" s="402"/>
      <c r="G40" s="388"/>
      <c r="H40" s="388"/>
      <c r="I40" s="401"/>
      <c r="J40" s="392" t="str">
        <f>IF(Q8="Yes","per "&amp;Q11,"")</f>
        <v/>
      </c>
      <c r="K40" s="392"/>
      <c r="L40" s="393" t="str">
        <f>IF(Q8="yes",IF(Y23=0,"",Y23),"")</f>
        <v/>
      </c>
      <c r="M40" s="394" t="s">
        <v>181</v>
      </c>
      <c r="N40" s="402"/>
      <c r="O40" s="419"/>
      <c r="P40" s="419"/>
      <c r="Q40" s="423"/>
      <c r="R40" s="419"/>
      <c r="S40" s="419"/>
      <c r="T40" s="422"/>
      <c r="U40" s="422"/>
      <c r="V40" s="422"/>
      <c r="W40" s="422"/>
      <c r="X40" s="422"/>
      <c r="Y40" s="422"/>
    </row>
    <row r="41" spans="1:25" ht="10.050000000000001" customHeight="1" x14ac:dyDescent="0.3">
      <c r="A41" s="388"/>
      <c r="B41" s="388"/>
      <c r="C41" s="388"/>
      <c r="D41" s="388"/>
      <c r="E41" s="388"/>
      <c r="F41" s="388"/>
      <c r="G41" s="388"/>
      <c r="H41" s="388"/>
      <c r="I41" s="401"/>
      <c r="J41" s="392"/>
      <c r="K41" s="392"/>
      <c r="L41" s="393"/>
      <c r="M41" s="394"/>
      <c r="N41" s="402"/>
      <c r="O41" s="419"/>
      <c r="P41" s="419"/>
      <c r="Q41" s="423"/>
      <c r="R41" s="419"/>
      <c r="S41" s="419"/>
      <c r="T41" s="422"/>
      <c r="U41" s="422"/>
      <c r="V41" s="422"/>
      <c r="W41" s="422"/>
      <c r="X41" s="422"/>
      <c r="Y41" s="422"/>
    </row>
    <row r="42" spans="1:25" ht="10.050000000000001" customHeight="1" x14ac:dyDescent="0.3">
      <c r="A42" s="387" t="str">
        <f>"EMISSIONS TREND "&amp;C3&amp;" vs "&amp;IF(C3="Year",C3,C3-1)</f>
        <v>EMISSIONS TREND 2025 vs 2024</v>
      </c>
      <c r="B42" s="387"/>
      <c r="C42" s="387"/>
      <c r="D42" s="387"/>
      <c r="E42" s="387"/>
      <c r="F42" s="387"/>
      <c r="G42" s="388"/>
      <c r="H42" s="388"/>
      <c r="I42" s="401"/>
      <c r="J42" s="401"/>
      <c r="K42" s="401"/>
      <c r="L42" s="401"/>
      <c r="M42" s="401"/>
      <c r="N42" s="402"/>
      <c r="O42" s="419"/>
      <c r="P42" s="419"/>
      <c r="Q42" s="423"/>
      <c r="R42" s="419"/>
      <c r="S42" s="419"/>
      <c r="T42" s="435"/>
      <c r="U42" s="422"/>
      <c r="V42" s="422"/>
      <c r="W42" s="422"/>
      <c r="X42" s="422"/>
      <c r="Y42" s="422"/>
    </row>
    <row r="43" spans="1:25" ht="10.050000000000001" customHeight="1" x14ac:dyDescent="0.3">
      <c r="A43" s="387"/>
      <c r="B43" s="387"/>
      <c r="C43" s="387"/>
      <c r="D43" s="387"/>
      <c r="E43" s="387"/>
      <c r="F43" s="387"/>
      <c r="G43" s="388"/>
      <c r="H43" s="388"/>
      <c r="I43" s="401"/>
      <c r="J43" s="401"/>
      <c r="K43" s="401"/>
      <c r="L43" s="401"/>
      <c r="M43" s="401"/>
      <c r="N43" s="402"/>
      <c r="O43" s="419"/>
      <c r="P43" s="419"/>
      <c r="Q43" s="423"/>
      <c r="R43" s="419"/>
      <c r="S43" s="419"/>
      <c r="T43" s="422"/>
      <c r="U43" s="422"/>
      <c r="V43" s="422"/>
      <c r="W43" s="422"/>
      <c r="X43" s="422"/>
      <c r="Y43" s="422"/>
    </row>
    <row r="44" spans="1:25" ht="10.050000000000001" customHeight="1" x14ac:dyDescent="0.3">
      <c r="A44" s="390"/>
      <c r="B44" s="407" t="e" vm="4">
        <v>#VALUE!</v>
      </c>
      <c r="C44" s="390"/>
      <c r="D44" s="390"/>
      <c r="E44" s="390"/>
      <c r="F44" s="391"/>
      <c r="G44" s="388"/>
      <c r="H44" s="388"/>
      <c r="I44" s="401"/>
      <c r="J44" s="401"/>
      <c r="K44" s="401"/>
      <c r="L44" s="401"/>
      <c r="M44" s="401"/>
      <c r="N44" s="402"/>
      <c r="O44" s="419"/>
      <c r="P44" s="419"/>
      <c r="Q44" s="423"/>
      <c r="R44" s="419"/>
      <c r="S44" s="419"/>
      <c r="T44" s="422"/>
      <c r="U44" s="422"/>
      <c r="V44" s="422"/>
      <c r="W44" s="422"/>
      <c r="X44" s="422"/>
      <c r="Y44" s="422"/>
    </row>
    <row r="45" spans="1:25" ht="10.050000000000001" customHeight="1" x14ac:dyDescent="0.3">
      <c r="A45" s="390"/>
      <c r="B45" s="407"/>
      <c r="C45" s="395"/>
      <c r="D45" s="410"/>
      <c r="E45" s="411"/>
      <c r="F45" s="412"/>
      <c r="G45" s="388"/>
      <c r="H45" s="388"/>
      <c r="I45" s="401"/>
      <c r="J45" s="401"/>
      <c r="K45" s="401"/>
      <c r="L45" s="401"/>
      <c r="M45" s="401"/>
      <c r="N45" s="402"/>
      <c r="O45" s="419"/>
      <c r="P45" s="419"/>
      <c r="Q45" s="423"/>
      <c r="R45" s="419"/>
      <c r="S45" s="419"/>
      <c r="T45" s="422"/>
      <c r="U45" s="422"/>
      <c r="V45" s="422"/>
      <c r="W45" s="422"/>
      <c r="X45" s="422"/>
      <c r="Y45" s="422"/>
    </row>
    <row r="46" spans="1:25" ht="10.050000000000001" customHeight="1" x14ac:dyDescent="0.3">
      <c r="A46" s="390"/>
      <c r="B46" s="407"/>
      <c r="C46" s="395"/>
      <c r="D46" s="410"/>
      <c r="E46" s="411"/>
      <c r="F46" s="412"/>
      <c r="G46" s="388"/>
      <c r="H46" s="388"/>
      <c r="I46" s="401"/>
      <c r="J46" s="401"/>
      <c r="K46" s="401"/>
      <c r="L46" s="401"/>
      <c r="M46" s="401"/>
      <c r="N46" s="402"/>
      <c r="O46" s="419"/>
      <c r="P46" s="419"/>
      <c r="Q46" s="423"/>
      <c r="R46" s="419"/>
      <c r="S46" s="419"/>
      <c r="T46" s="422"/>
      <c r="U46" s="422"/>
      <c r="V46" s="422"/>
      <c r="W46" s="422"/>
      <c r="X46" s="422"/>
      <c r="Y46" s="422"/>
    </row>
    <row r="47" spans="1:25" ht="10.050000000000001" customHeight="1" x14ac:dyDescent="0.3">
      <c r="A47" s="395"/>
      <c r="B47" s="407"/>
      <c r="C47" s="395"/>
      <c r="D47" s="410"/>
      <c r="E47" s="411"/>
      <c r="F47" s="412"/>
      <c r="G47" s="388"/>
      <c r="H47" s="388"/>
      <c r="I47" s="401"/>
      <c r="J47" s="401"/>
      <c r="K47" s="401"/>
      <c r="L47" s="401"/>
      <c r="M47" s="401"/>
      <c r="N47" s="402"/>
      <c r="O47" s="419"/>
      <c r="P47" s="419"/>
      <c r="Q47" s="423"/>
      <c r="R47" s="419"/>
      <c r="S47" s="419"/>
      <c r="T47" s="422"/>
      <c r="U47" s="422"/>
      <c r="V47" s="422"/>
      <c r="W47" s="422"/>
      <c r="X47" s="422"/>
      <c r="Y47" s="422"/>
    </row>
    <row r="48" spans="1:25" ht="10.050000000000001" customHeight="1" x14ac:dyDescent="0.3">
      <c r="A48" s="395"/>
      <c r="B48" s="407"/>
      <c r="C48" s="395"/>
      <c r="D48" s="410"/>
      <c r="E48" s="411"/>
      <c r="F48" s="412"/>
      <c r="G48" s="388"/>
      <c r="H48" s="388"/>
      <c r="I48" s="401"/>
      <c r="J48" s="401"/>
      <c r="K48" s="401"/>
      <c r="L48" s="401"/>
      <c r="M48" s="401"/>
      <c r="N48" s="402"/>
      <c r="O48" s="419"/>
      <c r="P48" s="419"/>
      <c r="Q48" s="419"/>
      <c r="R48" s="419"/>
      <c r="S48" s="419"/>
      <c r="T48" s="422"/>
      <c r="U48" s="422"/>
      <c r="V48" s="422"/>
      <c r="W48" s="422"/>
      <c r="X48" s="422"/>
      <c r="Y48" s="422"/>
    </row>
    <row r="49" spans="1:25" ht="10.050000000000001" customHeight="1" x14ac:dyDescent="0.3">
      <c r="A49" s="395"/>
      <c r="B49" s="407"/>
      <c r="C49" s="395"/>
      <c r="D49" s="410"/>
      <c r="E49" s="411"/>
      <c r="F49" s="412"/>
      <c r="G49" s="388"/>
      <c r="H49" s="388"/>
      <c r="I49" s="401"/>
      <c r="J49" s="401"/>
      <c r="K49" s="401"/>
      <c r="L49" s="401"/>
      <c r="M49" s="401"/>
      <c r="N49" s="402"/>
      <c r="O49" s="419"/>
      <c r="P49" s="419"/>
      <c r="Q49" s="419"/>
      <c r="R49" s="419"/>
      <c r="S49" s="419"/>
      <c r="T49" s="422"/>
      <c r="U49" s="422"/>
      <c r="V49" s="422"/>
      <c r="W49" s="422"/>
      <c r="X49" s="422"/>
      <c r="Y49" s="422"/>
    </row>
    <row r="50" spans="1:25" ht="10.050000000000001" customHeight="1" x14ac:dyDescent="0.3">
      <c r="A50" s="395"/>
      <c r="B50" s="395"/>
      <c r="C50" s="395"/>
      <c r="D50" s="410"/>
      <c r="E50" s="411"/>
      <c r="F50" s="412"/>
      <c r="G50" s="388"/>
      <c r="H50" s="388"/>
      <c r="I50" s="401"/>
      <c r="J50" s="401"/>
      <c r="K50" s="401"/>
      <c r="L50" s="401"/>
      <c r="M50" s="401"/>
      <c r="N50" s="402"/>
      <c r="O50" s="419"/>
      <c r="P50" s="419"/>
      <c r="Q50" s="419"/>
      <c r="R50" s="419"/>
      <c r="S50" s="419"/>
      <c r="T50" s="422"/>
      <c r="U50" s="422"/>
      <c r="V50" s="422"/>
      <c r="W50" s="422"/>
      <c r="X50" s="422"/>
      <c r="Y50" s="422"/>
    </row>
    <row r="51" spans="1:25" ht="10.050000000000001" customHeight="1" x14ac:dyDescent="0.3">
      <c r="A51" s="395"/>
      <c r="B51" s="401"/>
      <c r="C51" s="401"/>
      <c r="D51" s="401"/>
      <c r="E51" s="401"/>
      <c r="F51" s="402"/>
      <c r="G51" s="388"/>
      <c r="H51" s="388"/>
      <c r="I51" s="401"/>
      <c r="J51" s="401"/>
      <c r="K51" s="401"/>
      <c r="L51" s="401"/>
      <c r="M51" s="401"/>
      <c r="N51" s="402"/>
      <c r="O51" s="419"/>
      <c r="P51" s="419"/>
      <c r="Q51" s="419"/>
      <c r="R51" s="419"/>
      <c r="S51" s="419"/>
      <c r="T51" s="422"/>
      <c r="U51" s="422"/>
      <c r="V51" s="422"/>
      <c r="W51" s="422"/>
      <c r="X51" s="422"/>
      <c r="Y51" s="422"/>
    </row>
    <row r="52" spans="1:25" ht="10.050000000000001" customHeight="1" x14ac:dyDescent="0.3">
      <c r="A52" s="395"/>
      <c r="B52" s="401"/>
      <c r="C52" s="401"/>
      <c r="D52" s="401"/>
      <c r="E52" s="401"/>
      <c r="F52" s="402"/>
      <c r="G52" s="388"/>
      <c r="H52" s="388"/>
      <c r="I52" s="401"/>
      <c r="J52" s="401"/>
      <c r="K52" s="401"/>
      <c r="L52" s="401"/>
      <c r="M52" s="401"/>
      <c r="N52" s="402"/>
      <c r="O52" s="419"/>
      <c r="P52" s="419"/>
      <c r="Q52" s="419"/>
      <c r="R52" s="419"/>
      <c r="S52" s="419"/>
      <c r="T52" s="422"/>
      <c r="U52" s="422"/>
      <c r="V52" s="422"/>
      <c r="W52" s="422"/>
      <c r="X52" s="422"/>
      <c r="Y52" s="422"/>
    </row>
    <row r="53" spans="1:25" ht="10.050000000000001" customHeight="1" x14ac:dyDescent="0.3">
      <c r="A53" s="395"/>
      <c r="B53" s="401"/>
      <c r="C53" s="401"/>
      <c r="D53" s="401"/>
      <c r="E53" s="401"/>
      <c r="F53" s="402"/>
      <c r="G53" s="388"/>
      <c r="H53" s="388"/>
      <c r="I53" s="401"/>
      <c r="J53" s="401"/>
      <c r="K53" s="401"/>
      <c r="L53" s="401"/>
      <c r="M53" s="401"/>
      <c r="N53" s="402"/>
      <c r="O53" s="419"/>
      <c r="P53" s="419"/>
      <c r="Q53" s="419"/>
      <c r="R53" s="419"/>
      <c r="S53" s="419"/>
      <c r="T53" s="422"/>
      <c r="U53" s="422"/>
      <c r="V53" s="422"/>
      <c r="W53" s="422"/>
      <c r="X53" s="422"/>
      <c r="Y53" s="422"/>
    </row>
    <row r="54" spans="1:25" ht="10.050000000000001" customHeight="1" x14ac:dyDescent="0.3">
      <c r="A54" s="395"/>
      <c r="B54" s="401"/>
      <c r="C54" s="401"/>
      <c r="D54" s="401"/>
      <c r="E54" s="401"/>
      <c r="F54" s="402"/>
      <c r="G54" s="388"/>
      <c r="H54" s="388"/>
      <c r="I54" s="401"/>
      <c r="J54" s="401"/>
      <c r="K54" s="401"/>
      <c r="L54" s="401"/>
      <c r="M54" s="413"/>
      <c r="N54" s="408"/>
      <c r="O54" s="419"/>
      <c r="P54" s="419"/>
      <c r="Q54" s="419"/>
      <c r="R54" s="419"/>
      <c r="S54" s="419"/>
      <c r="T54" s="422"/>
      <c r="U54" s="422"/>
      <c r="V54" s="422"/>
      <c r="W54" s="422"/>
      <c r="X54" s="422"/>
      <c r="Y54" s="422"/>
    </row>
    <row r="55" spans="1:25" ht="10.050000000000001" customHeight="1" x14ac:dyDescent="0.3">
      <c r="A55" s="395"/>
      <c r="B55" s="401"/>
      <c r="C55" s="401"/>
      <c r="D55" s="401"/>
      <c r="E55" s="401"/>
      <c r="F55" s="402"/>
      <c r="G55" s="388"/>
      <c r="H55" s="388"/>
      <c r="I55" s="401"/>
      <c r="J55" s="401"/>
      <c r="K55" s="401"/>
      <c r="L55" s="401"/>
      <c r="M55" s="395"/>
      <c r="N55" s="408"/>
      <c r="O55" s="419"/>
      <c r="P55" s="419"/>
      <c r="Q55" s="419"/>
      <c r="R55" s="419"/>
      <c r="S55" s="419"/>
      <c r="T55" s="422"/>
      <c r="U55" s="422"/>
      <c r="V55" s="422"/>
      <c r="W55" s="422"/>
      <c r="X55" s="422"/>
      <c r="Y55" s="422"/>
    </row>
    <row r="56" spans="1:25" ht="10.050000000000001" customHeight="1" x14ac:dyDescent="0.3">
      <c r="A56" s="395"/>
      <c r="B56" s="401"/>
      <c r="C56" s="401"/>
      <c r="D56" s="401"/>
      <c r="E56" s="412"/>
      <c r="F56" s="402"/>
      <c r="G56" s="388"/>
      <c r="H56" s="388"/>
      <c r="I56" s="401"/>
      <c r="J56" s="401"/>
      <c r="K56" s="401"/>
      <c r="L56" s="401"/>
      <c r="M56" s="395"/>
      <c r="N56" s="408"/>
      <c r="O56" s="419"/>
      <c r="P56" s="419"/>
      <c r="Q56" s="419"/>
      <c r="R56" s="419"/>
      <c r="S56" s="419"/>
      <c r="T56" s="422"/>
      <c r="U56" s="422"/>
      <c r="V56" s="422"/>
      <c r="W56" s="422"/>
      <c r="X56" s="422"/>
      <c r="Y56" s="422"/>
    </row>
    <row r="57" spans="1:25" ht="10.050000000000001" customHeight="1" x14ac:dyDescent="0.3">
      <c r="A57" s="395"/>
      <c r="B57" s="395"/>
      <c r="C57" s="395"/>
      <c r="D57" s="395"/>
      <c r="E57" s="413" t="s">
        <v>91</v>
      </c>
      <c r="F57" s="408"/>
      <c r="G57" s="388"/>
      <c r="H57" s="388"/>
      <c r="I57" s="401"/>
      <c r="J57" s="401"/>
      <c r="K57" s="401"/>
      <c r="L57" s="401"/>
      <c r="M57" s="395"/>
      <c r="N57" s="408"/>
      <c r="O57" s="419"/>
      <c r="P57" s="419"/>
      <c r="Q57" s="419"/>
      <c r="R57" s="419"/>
      <c r="S57" s="419"/>
      <c r="T57" s="422"/>
      <c r="U57" s="422"/>
      <c r="V57" s="422"/>
      <c r="W57" s="422"/>
      <c r="X57" s="422"/>
      <c r="Y57" s="422"/>
    </row>
    <row r="58" spans="1:25" ht="10.050000000000001" customHeight="1" x14ac:dyDescent="0.3">
      <c r="A58" s="395"/>
      <c r="B58" s="395"/>
      <c r="C58" s="395"/>
      <c r="D58" s="395"/>
      <c r="E58" s="395"/>
      <c r="F58" s="408"/>
      <c r="G58" s="388"/>
      <c r="H58" s="388"/>
      <c r="I58" s="401"/>
      <c r="J58" s="401"/>
      <c r="K58" s="401"/>
      <c r="L58" s="401"/>
      <c r="M58" s="395"/>
      <c r="N58" s="408"/>
      <c r="O58" s="419"/>
      <c r="P58" s="419"/>
      <c r="Q58" s="419"/>
      <c r="R58" s="419"/>
      <c r="S58" s="419"/>
      <c r="T58" s="422"/>
      <c r="U58" s="422"/>
      <c r="V58" s="422"/>
      <c r="W58" s="422"/>
      <c r="X58" s="422"/>
      <c r="Y58" s="422"/>
    </row>
    <row r="59" spans="1:25" ht="10.050000000000001" customHeight="1" x14ac:dyDescent="0.25">
      <c r="A59" s="388"/>
      <c r="B59" s="388"/>
      <c r="C59" s="388"/>
      <c r="D59" s="388"/>
      <c r="E59" s="388"/>
      <c r="F59" s="388"/>
      <c r="G59" s="388"/>
      <c r="H59" s="388"/>
      <c r="I59" s="388"/>
      <c r="J59" s="388"/>
      <c r="K59" s="388"/>
      <c r="L59" s="388"/>
      <c r="M59" s="388"/>
      <c r="N59" s="388"/>
      <c r="O59" s="436"/>
      <c r="P59" s="419"/>
      <c r="Q59" s="423"/>
      <c r="R59" s="423"/>
      <c r="S59" s="423"/>
      <c r="T59" s="422"/>
      <c r="U59" s="422"/>
      <c r="V59" s="422"/>
      <c r="W59" s="422"/>
      <c r="X59" s="422"/>
      <c r="Y59" s="422"/>
    </row>
    <row r="60" spans="1:25" ht="10.050000000000001" customHeight="1" x14ac:dyDescent="0.3">
      <c r="A60" s="387" t="s">
        <v>178</v>
      </c>
      <c r="B60" s="387"/>
      <c r="C60" s="387"/>
      <c r="D60" s="387"/>
      <c r="E60" s="387"/>
      <c r="F60" s="387"/>
      <c r="G60" s="388"/>
      <c r="H60" s="388"/>
      <c r="I60" s="387" t="s">
        <v>182</v>
      </c>
      <c r="J60" s="387"/>
      <c r="K60" s="387"/>
      <c r="L60" s="387"/>
      <c r="M60" s="387"/>
      <c r="N60" s="389"/>
      <c r="O60" s="419"/>
      <c r="P60" s="419"/>
      <c r="Q60" s="423"/>
      <c r="R60" s="423"/>
      <c r="S60" s="423"/>
      <c r="T60" s="422"/>
      <c r="U60" s="422"/>
      <c r="V60" s="422"/>
      <c r="W60" s="422"/>
      <c r="X60" s="422"/>
      <c r="Y60" s="422"/>
    </row>
    <row r="61" spans="1:25" ht="10.050000000000001" customHeight="1" x14ac:dyDescent="0.25">
      <c r="A61" s="387"/>
      <c r="B61" s="387"/>
      <c r="C61" s="387"/>
      <c r="D61" s="387"/>
      <c r="E61" s="387"/>
      <c r="F61" s="387"/>
      <c r="G61" s="388"/>
      <c r="H61" s="388"/>
      <c r="I61" s="387"/>
      <c r="J61" s="387"/>
      <c r="K61" s="387"/>
      <c r="L61" s="387"/>
      <c r="M61" s="387"/>
      <c r="N61" s="389"/>
      <c r="O61" s="436"/>
      <c r="P61" s="419"/>
      <c r="Q61" s="423"/>
      <c r="R61" s="423"/>
      <c r="S61" s="423"/>
      <c r="T61" s="422"/>
      <c r="U61" s="422"/>
      <c r="V61" s="422"/>
      <c r="W61" s="422"/>
      <c r="X61" s="422"/>
      <c r="Y61" s="422"/>
    </row>
    <row r="62" spans="1:25" ht="10.050000000000001" customHeight="1" x14ac:dyDescent="0.3">
      <c r="A62" s="390"/>
      <c r="B62" s="407" t="e" vm="5">
        <v>#VALUE!</v>
      </c>
      <c r="C62" s="390"/>
      <c r="D62" s="390"/>
      <c r="E62" s="390"/>
      <c r="F62" s="391"/>
      <c r="G62" s="388"/>
      <c r="H62" s="388"/>
      <c r="I62" s="390"/>
      <c r="J62" s="390"/>
      <c r="K62" s="390"/>
      <c r="L62" s="390"/>
      <c r="M62" s="414" t="s">
        <v>190</v>
      </c>
      <c r="N62" s="389"/>
      <c r="O62" s="419"/>
      <c r="P62" s="419"/>
      <c r="Q62" s="423"/>
      <c r="R62" s="423"/>
      <c r="S62" s="423"/>
      <c r="T62" s="422"/>
      <c r="U62" s="422"/>
      <c r="V62" s="422"/>
      <c r="W62" s="422"/>
      <c r="X62" s="422"/>
      <c r="Y62" s="422"/>
    </row>
    <row r="63" spans="1:25" ht="10.050000000000001" customHeight="1" x14ac:dyDescent="0.3">
      <c r="A63" s="390"/>
      <c r="B63" s="407"/>
      <c r="C63" s="415" t="str">
        <f>IF(ROUNDDOWN($U$29/2.2, 0)&lt;1,"","Through our actions, we saved ")</f>
        <v/>
      </c>
      <c r="D63" s="415"/>
      <c r="E63" s="415"/>
      <c r="F63" s="412"/>
      <c r="G63" s="388"/>
      <c r="H63" s="388"/>
      <c r="I63" s="390"/>
      <c r="J63" s="390"/>
      <c r="K63" s="390"/>
      <c r="L63" s="390"/>
      <c r="M63" s="390"/>
      <c r="N63" s="391"/>
      <c r="O63" s="437"/>
      <c r="P63" s="423"/>
      <c r="Q63" s="423"/>
      <c r="R63" s="423"/>
      <c r="S63" s="423"/>
      <c r="T63" s="422"/>
      <c r="U63" s="422"/>
      <c r="V63" s="422"/>
      <c r="W63" s="422"/>
      <c r="X63" s="422"/>
      <c r="Y63" s="422"/>
    </row>
    <row r="64" spans="1:25" ht="10.050000000000001" customHeight="1" x14ac:dyDescent="0.3">
      <c r="A64" s="390"/>
      <c r="B64" s="407"/>
      <c r="C64" s="415"/>
      <c r="D64" s="415"/>
      <c r="E64" s="415"/>
      <c r="F64" s="412"/>
      <c r="G64" s="388"/>
      <c r="H64" s="388"/>
      <c r="I64" s="401"/>
      <c r="J64" s="401"/>
      <c r="K64" s="401"/>
      <c r="L64" s="401"/>
      <c r="M64" s="401"/>
      <c r="N64" s="402"/>
      <c r="O64" s="438"/>
      <c r="P64" s="423"/>
      <c r="Q64" s="423"/>
      <c r="R64" s="423"/>
      <c r="S64" s="423"/>
      <c r="T64" s="422"/>
      <c r="U64" s="422"/>
      <c r="V64" s="422"/>
      <c r="W64" s="422"/>
      <c r="X64" s="422"/>
      <c r="Y64" s="422"/>
    </row>
    <row r="65" spans="1:25" ht="10.050000000000001" customHeight="1" x14ac:dyDescent="0.3">
      <c r="A65" s="395"/>
      <c r="B65" s="407"/>
      <c r="C65" s="416"/>
      <c r="D65" s="417" t="str">
        <f>IF(ROUNDDOWN($U$29/2.2,0)&lt;1,"",ROUND($U$29,2))</f>
        <v/>
      </c>
      <c r="E65" s="418" t="str">
        <f>IF(ROUNDDOWN($U$29/2.2,0)&lt;1,"","tCO₂eq in "&amp;C3)</f>
        <v/>
      </c>
      <c r="F65" s="412"/>
      <c r="G65" s="388"/>
      <c r="H65" s="388"/>
      <c r="I65" s="401"/>
      <c r="J65" s="401"/>
      <c r="K65" s="401"/>
      <c r="L65" s="401"/>
      <c r="M65" s="401"/>
      <c r="N65" s="402"/>
      <c r="O65" s="419"/>
      <c r="P65" s="423"/>
      <c r="Q65" s="423"/>
      <c r="R65" s="423"/>
      <c r="S65" s="423"/>
      <c r="T65" s="422"/>
      <c r="U65" s="422"/>
      <c r="V65" s="422"/>
      <c r="W65" s="422"/>
      <c r="X65" s="422"/>
      <c r="Y65" s="422"/>
    </row>
    <row r="66" spans="1:25" ht="10.050000000000001" customHeight="1" x14ac:dyDescent="0.3">
      <c r="A66" s="395"/>
      <c r="B66" s="407"/>
      <c r="C66" s="416"/>
      <c r="D66" s="417"/>
      <c r="E66" s="418"/>
      <c r="F66" s="412"/>
      <c r="G66" s="388"/>
      <c r="H66" s="388"/>
      <c r="I66" s="401"/>
      <c r="J66" s="401"/>
      <c r="K66" s="401"/>
      <c r="L66" s="401"/>
      <c r="M66" s="401"/>
      <c r="N66" s="402"/>
      <c r="O66" s="419"/>
      <c r="P66" s="423"/>
      <c r="Q66" s="423"/>
      <c r="R66" s="423"/>
      <c r="S66" s="423"/>
      <c r="T66" s="422"/>
      <c r="U66" s="422"/>
      <c r="V66" s="422"/>
      <c r="W66" s="422"/>
      <c r="X66" s="422"/>
      <c r="Y66" s="422"/>
    </row>
    <row r="67" spans="1:25" ht="10.050000000000001" customHeight="1" x14ac:dyDescent="0.3">
      <c r="A67" s="395"/>
      <c r="B67" s="407"/>
      <c r="C67" s="416"/>
      <c r="D67" s="417"/>
      <c r="E67" s="418"/>
      <c r="F67" s="412"/>
      <c r="G67" s="388"/>
      <c r="H67" s="388"/>
      <c r="I67" s="401"/>
      <c r="J67" s="401"/>
      <c r="K67" s="401"/>
      <c r="L67" s="401"/>
      <c r="M67" s="401"/>
      <c r="N67" s="402"/>
      <c r="O67" s="419"/>
      <c r="P67" s="423"/>
      <c r="Q67" s="423"/>
      <c r="R67" s="423"/>
      <c r="S67" s="423"/>
      <c r="T67" s="422"/>
      <c r="U67" s="422"/>
      <c r="V67" s="422"/>
      <c r="W67" s="422"/>
      <c r="X67" s="422"/>
      <c r="Y67" s="422"/>
    </row>
    <row r="68" spans="1:25" ht="10.050000000000001" customHeight="1" x14ac:dyDescent="0.3">
      <c r="A68" s="395"/>
      <c r="B68" s="395"/>
      <c r="C68" s="415" t="str">
        <f>IF(ROUNDDOWN($U$29/2.2,0)&lt;1,"","equivalent to removing ")</f>
        <v/>
      </c>
      <c r="D68" s="415"/>
      <c r="E68" s="415"/>
      <c r="F68" s="412"/>
      <c r="G68" s="388"/>
      <c r="H68" s="388"/>
      <c r="I68" s="401"/>
      <c r="J68" s="401"/>
      <c r="K68" s="401"/>
      <c r="L68" s="401"/>
      <c r="M68" s="401"/>
      <c r="N68" s="402"/>
      <c r="O68" s="419"/>
      <c r="P68" s="423"/>
      <c r="Q68" s="423"/>
      <c r="R68" s="423"/>
      <c r="S68" s="423"/>
      <c r="T68" s="422"/>
      <c r="U68" s="422"/>
      <c r="V68" s="422"/>
      <c r="W68" s="422"/>
      <c r="X68" s="422"/>
      <c r="Y68" s="422"/>
    </row>
    <row r="69" spans="1:25" ht="10.050000000000001" customHeight="1" x14ac:dyDescent="0.3">
      <c r="A69" s="395"/>
      <c r="B69" s="401"/>
      <c r="C69" s="415"/>
      <c r="D69" s="415"/>
      <c r="E69" s="415"/>
      <c r="F69" s="402"/>
      <c r="G69" s="388"/>
      <c r="H69" s="388"/>
      <c r="I69" s="401"/>
      <c r="J69" s="401"/>
      <c r="K69" s="401"/>
      <c r="L69" s="401"/>
      <c r="M69" s="401"/>
      <c r="N69" s="402"/>
      <c r="O69" s="419"/>
      <c r="P69" s="423"/>
      <c r="Q69" s="423"/>
      <c r="R69" s="423"/>
      <c r="S69" s="423"/>
      <c r="T69" s="422"/>
      <c r="U69" s="422"/>
      <c r="V69" s="422"/>
      <c r="W69" s="422"/>
      <c r="X69" s="422"/>
      <c r="Y69" s="422"/>
    </row>
    <row r="70" spans="1:25" ht="10.050000000000001" customHeight="1" x14ac:dyDescent="0.3">
      <c r="A70" s="395"/>
      <c r="B70" s="401"/>
      <c r="C70" s="401"/>
      <c r="D70" s="417" t="str">
        <f>IF(ROUNDDOWN($U$29/2.2, 0)&lt;1,"",ROUNDDOWN($U$29/2.2, 0))</f>
        <v/>
      </c>
      <c r="E70" s="418" t="str">
        <f>IF(ROUNDDOWN($U$29/2.2,0)&lt;1,"",IF(ROUNDDOWN($U$29/2.2,0)&gt;1," cars"," car"))</f>
        <v/>
      </c>
      <c r="F70" s="402"/>
      <c r="G70" s="388"/>
      <c r="H70" s="388"/>
      <c r="I70" s="401"/>
      <c r="J70" s="401"/>
      <c r="K70" s="401"/>
      <c r="L70" s="401"/>
      <c r="M70" s="401"/>
      <c r="N70" s="402"/>
      <c r="O70" s="419"/>
      <c r="P70" s="423"/>
      <c r="Q70" s="423"/>
      <c r="R70" s="423"/>
      <c r="S70" s="423"/>
      <c r="T70" s="422"/>
      <c r="U70" s="422"/>
      <c r="V70" s="422"/>
      <c r="W70" s="422"/>
      <c r="X70" s="422"/>
      <c r="Y70" s="422"/>
    </row>
    <row r="71" spans="1:25" ht="10.050000000000001" customHeight="1" x14ac:dyDescent="0.3">
      <c r="A71" s="395"/>
      <c r="B71" s="401"/>
      <c r="C71" s="401"/>
      <c r="D71" s="417"/>
      <c r="E71" s="418"/>
      <c r="F71" s="402"/>
      <c r="G71" s="388"/>
      <c r="H71" s="388"/>
      <c r="I71" s="401"/>
      <c r="J71" s="401"/>
      <c r="K71" s="401"/>
      <c r="L71" s="401"/>
      <c r="M71" s="401"/>
      <c r="N71" s="402"/>
      <c r="O71" s="419"/>
      <c r="P71" s="423"/>
      <c r="Q71" s="423"/>
      <c r="R71" s="423"/>
      <c r="S71" s="423"/>
      <c r="T71" s="422"/>
      <c r="U71" s="422"/>
      <c r="V71" s="422"/>
      <c r="W71" s="422"/>
      <c r="X71" s="422"/>
      <c r="Y71" s="422"/>
    </row>
    <row r="72" spans="1:25" ht="10.050000000000001" customHeight="1" x14ac:dyDescent="0.3">
      <c r="A72" s="395"/>
      <c r="B72" s="401"/>
      <c r="C72" s="401"/>
      <c r="D72" s="417"/>
      <c r="E72" s="418"/>
      <c r="F72" s="402"/>
      <c r="G72" s="388"/>
      <c r="H72" s="388"/>
      <c r="I72" s="401"/>
      <c r="J72" s="401"/>
      <c r="K72" s="401"/>
      <c r="L72" s="401"/>
      <c r="M72" s="401"/>
      <c r="N72" s="402"/>
      <c r="O72" s="419"/>
      <c r="P72" s="423"/>
      <c r="Q72" s="423"/>
      <c r="R72" s="423"/>
      <c r="S72" s="423"/>
      <c r="T72" s="422"/>
      <c r="U72" s="422"/>
      <c r="V72" s="422"/>
      <c r="W72" s="422"/>
      <c r="X72" s="422"/>
      <c r="Y72" s="422"/>
    </row>
    <row r="73" spans="1:25" ht="10.050000000000001" customHeight="1" x14ac:dyDescent="0.3">
      <c r="A73" s="395"/>
      <c r="B73" s="401"/>
      <c r="C73" s="415" t="str">
        <f>IF(ROUNDDOWN($U$29/2.2, 0)&lt;1,""," from the road for a year")</f>
        <v/>
      </c>
      <c r="D73" s="415"/>
      <c r="E73" s="415"/>
      <c r="F73" s="402"/>
      <c r="G73" s="388"/>
      <c r="H73" s="388"/>
      <c r="I73" s="401"/>
      <c r="J73" s="401"/>
      <c r="K73" s="401"/>
      <c r="L73" s="401"/>
      <c r="M73" s="401"/>
      <c r="N73" s="402"/>
      <c r="O73" s="419"/>
      <c r="P73" s="423"/>
      <c r="Q73" s="423"/>
      <c r="R73" s="423"/>
      <c r="S73" s="423"/>
      <c r="T73" s="422"/>
      <c r="U73" s="422"/>
      <c r="V73" s="422"/>
      <c r="W73" s="422"/>
      <c r="X73" s="422"/>
      <c r="Y73" s="422"/>
    </row>
    <row r="74" spans="1:25" ht="10.050000000000001" customHeight="1" x14ac:dyDescent="0.3">
      <c r="A74" s="395"/>
      <c r="B74" s="401"/>
      <c r="C74" s="415"/>
      <c r="D74" s="415"/>
      <c r="E74" s="415"/>
      <c r="F74" s="402"/>
      <c r="G74" s="388"/>
      <c r="H74" s="388"/>
      <c r="I74" s="401"/>
      <c r="J74" s="401"/>
      <c r="K74" s="401"/>
      <c r="L74" s="401"/>
      <c r="M74" s="401"/>
      <c r="N74" s="402"/>
      <c r="O74" s="419"/>
      <c r="P74" s="423"/>
      <c r="Q74" s="423"/>
      <c r="R74" s="423"/>
      <c r="S74" s="423"/>
      <c r="T74" s="422"/>
      <c r="U74" s="422"/>
      <c r="V74" s="422"/>
      <c r="W74" s="422"/>
      <c r="X74" s="422"/>
      <c r="Y74" s="422"/>
    </row>
    <row r="75" spans="1:25" ht="10.050000000000001" customHeight="1" x14ac:dyDescent="0.3">
      <c r="A75" s="395"/>
      <c r="B75" s="395"/>
      <c r="C75" s="395"/>
      <c r="D75" s="395"/>
      <c r="E75" s="392" t="e" vm="6">
        <v>#VALUE!</v>
      </c>
      <c r="F75" s="408"/>
      <c r="G75" s="388"/>
      <c r="H75" s="388"/>
      <c r="I75" s="401"/>
      <c r="J75" s="401"/>
      <c r="K75" s="401"/>
      <c r="L75" s="401"/>
      <c r="M75" s="401"/>
      <c r="N75" s="402"/>
      <c r="O75" s="419"/>
      <c r="P75" s="423"/>
      <c r="Q75" s="423"/>
      <c r="R75" s="423"/>
      <c r="S75" s="423"/>
      <c r="T75" s="422"/>
      <c r="U75" s="422"/>
      <c r="V75" s="422"/>
      <c r="W75" s="422"/>
      <c r="X75" s="422"/>
      <c r="Y75" s="422"/>
    </row>
    <row r="76" spans="1:25" ht="10.050000000000001" customHeight="1" x14ac:dyDescent="0.3">
      <c r="A76" s="395"/>
      <c r="B76" s="395"/>
      <c r="C76" s="395"/>
      <c r="D76" s="395"/>
      <c r="E76" s="392"/>
      <c r="F76" s="408"/>
      <c r="G76" s="388"/>
      <c r="H76" s="388"/>
      <c r="I76" s="401"/>
      <c r="J76" s="401"/>
      <c r="K76" s="401"/>
      <c r="L76" s="401"/>
      <c r="M76" s="401"/>
      <c r="N76" s="402"/>
      <c r="O76" s="419"/>
      <c r="P76" s="423"/>
      <c r="Q76" s="423"/>
      <c r="R76" s="423"/>
      <c r="S76" s="423"/>
      <c r="T76" s="422"/>
      <c r="U76" s="422"/>
      <c r="V76" s="422"/>
      <c r="W76" s="422"/>
      <c r="X76" s="422"/>
      <c r="Y76" s="422"/>
    </row>
    <row r="77" spans="1:25" ht="10.050000000000001" customHeight="1" x14ac:dyDescent="0.3">
      <c r="A77" s="395"/>
      <c r="B77" s="395"/>
      <c r="C77" s="395"/>
      <c r="D77" s="395"/>
      <c r="E77" s="392"/>
      <c r="F77" s="408"/>
      <c r="G77" s="388"/>
      <c r="H77" s="388"/>
      <c r="I77" s="401"/>
      <c r="J77" s="401"/>
      <c r="K77" s="401"/>
      <c r="L77" s="401"/>
      <c r="M77" s="401"/>
      <c r="N77" s="402"/>
      <c r="O77" s="419"/>
      <c r="P77" s="423"/>
      <c r="Q77" s="423"/>
      <c r="R77" s="423"/>
      <c r="S77" s="423"/>
      <c r="T77" s="422"/>
      <c r="U77" s="422"/>
      <c r="V77" s="422"/>
      <c r="W77" s="422"/>
      <c r="X77" s="422"/>
      <c r="Y77" s="422"/>
    </row>
    <row r="78" spans="1:25" ht="10.050000000000001" customHeight="1" x14ac:dyDescent="0.3">
      <c r="A78" s="388"/>
      <c r="B78" s="388"/>
      <c r="C78" s="388"/>
      <c r="D78" s="388"/>
      <c r="E78" s="388"/>
      <c r="F78" s="388"/>
      <c r="G78" s="388"/>
      <c r="H78" s="388"/>
      <c r="I78" s="388"/>
      <c r="J78" s="388"/>
      <c r="K78" s="388"/>
      <c r="L78" s="388"/>
      <c r="M78" s="388"/>
      <c r="N78" s="388"/>
      <c r="O78" s="419"/>
      <c r="P78" s="423"/>
      <c r="Q78" s="423"/>
      <c r="R78" s="423"/>
      <c r="S78" s="423"/>
      <c r="T78" s="422"/>
      <c r="U78" s="422"/>
      <c r="V78" s="422"/>
      <c r="W78" s="422"/>
      <c r="X78" s="422"/>
      <c r="Y78" s="422"/>
    </row>
    <row r="79" spans="1:25" ht="10.050000000000001" customHeight="1" x14ac:dyDescent="0.3">
      <c r="A79" s="419"/>
      <c r="B79" s="419"/>
      <c r="C79" s="419"/>
      <c r="D79" s="419"/>
      <c r="E79" s="419"/>
      <c r="F79" s="419"/>
      <c r="G79" s="419"/>
      <c r="H79" s="419"/>
      <c r="I79" s="419"/>
      <c r="J79" s="419"/>
      <c r="K79" s="419"/>
      <c r="L79" s="419"/>
      <c r="M79" s="419"/>
      <c r="N79" s="419"/>
      <c r="O79" s="419"/>
      <c r="P79" s="423"/>
      <c r="Q79" s="423"/>
      <c r="R79" s="423"/>
      <c r="S79" s="423"/>
      <c r="T79" s="422"/>
      <c r="U79" s="422"/>
      <c r="V79" s="422"/>
      <c r="W79" s="422"/>
      <c r="X79" s="422"/>
      <c r="Y79" s="422"/>
    </row>
    <row r="80" spans="1:25" ht="10.050000000000001" hidden="1" customHeight="1" x14ac:dyDescent="0.3">
      <c r="P80" s="276"/>
      <c r="Q80" s="276"/>
      <c r="R80" s="276"/>
      <c r="S80" s="272"/>
    </row>
    <row r="81" spans="16:19" ht="10.050000000000001" hidden="1" customHeight="1" x14ac:dyDescent="0.3">
      <c r="P81" s="276"/>
      <c r="Q81" s="276"/>
      <c r="R81" s="276"/>
      <c r="S81" s="272"/>
    </row>
    <row r="82" spans="16:19" ht="10.050000000000001" hidden="1" customHeight="1" x14ac:dyDescent="0.3">
      <c r="P82" s="276"/>
      <c r="Q82" s="276"/>
      <c r="R82" s="276"/>
      <c r="S82" s="272"/>
    </row>
    <row r="83" spans="16:19" ht="10.050000000000001" hidden="1" customHeight="1" x14ac:dyDescent="0.3">
      <c r="P83" s="276"/>
      <c r="Q83" s="276"/>
      <c r="R83" s="276"/>
      <c r="S83" s="272"/>
    </row>
    <row r="84" spans="16:19" ht="10.050000000000001" hidden="1" customHeight="1" x14ac:dyDescent="0.3">
      <c r="P84" s="276"/>
      <c r="Q84" s="276"/>
      <c r="R84" s="276"/>
      <c r="S84" s="272"/>
    </row>
    <row r="85" spans="16:19" ht="13.8" hidden="1" x14ac:dyDescent="0.3">
      <c r="P85" s="276"/>
      <c r="Q85" s="276"/>
      <c r="R85" s="276"/>
      <c r="S85" s="272"/>
    </row>
  </sheetData>
  <sheetProtection algorithmName="SHA-512" hashValue="aDphx7RR/cg7nBx/UgLbNPsGhFrWVQrbx3lW5ORqU+yRs7GsA377Mw1IUrxXcAi0Vz+FGEBvH97d8Exk/9nw9Q==" saltValue="vbtrzWNAF05l10Vkb1Bu2w==" spinCount="100000" sheet="1" objects="1" scenarios="1"/>
  <mergeCells count="76">
    <mergeCell ref="C73:E74"/>
    <mergeCell ref="E75:E77"/>
    <mergeCell ref="B62:B67"/>
    <mergeCell ref="C63:E64"/>
    <mergeCell ref="D65:D67"/>
    <mergeCell ref="E65:E67"/>
    <mergeCell ref="C68:E69"/>
    <mergeCell ref="D70:D72"/>
    <mergeCell ref="E70:E72"/>
    <mergeCell ref="A60:F61"/>
    <mergeCell ref="I60:M61"/>
    <mergeCell ref="J36:K37"/>
    <mergeCell ref="L36:L37"/>
    <mergeCell ref="M36:M37"/>
    <mergeCell ref="J40:K41"/>
    <mergeCell ref="L40:L41"/>
    <mergeCell ref="M40:M41"/>
    <mergeCell ref="A42:F43"/>
    <mergeCell ref="B44:B49"/>
    <mergeCell ref="N36:N37"/>
    <mergeCell ref="J38:K39"/>
    <mergeCell ref="L38:L39"/>
    <mergeCell ref="M38:M39"/>
    <mergeCell ref="I32:I37"/>
    <mergeCell ref="J32:K33"/>
    <mergeCell ref="L32:L33"/>
    <mergeCell ref="M32:M33"/>
    <mergeCell ref="N32:N33"/>
    <mergeCell ref="T33:W33"/>
    <mergeCell ref="J34:K35"/>
    <mergeCell ref="L34:L35"/>
    <mergeCell ref="M34:M35"/>
    <mergeCell ref="N34:N35"/>
    <mergeCell ref="T17:U17"/>
    <mergeCell ref="A19:F20"/>
    <mergeCell ref="B21:B26"/>
    <mergeCell ref="T21:Y21"/>
    <mergeCell ref="T28:V28"/>
    <mergeCell ref="I29:M31"/>
    <mergeCell ref="R14:R15"/>
    <mergeCell ref="B15:C16"/>
    <mergeCell ref="D15:D16"/>
    <mergeCell ref="E15:E16"/>
    <mergeCell ref="P16:P18"/>
    <mergeCell ref="Q16:Q18"/>
    <mergeCell ref="R16:R18"/>
    <mergeCell ref="P14:P15"/>
    <mergeCell ref="Q14:Q15"/>
    <mergeCell ref="B11:C12"/>
    <mergeCell ref="D11:D12"/>
    <mergeCell ref="E11:E12"/>
    <mergeCell ref="I11:J12"/>
    <mergeCell ref="N11:N12"/>
    <mergeCell ref="P11:P13"/>
    <mergeCell ref="P6:Q7"/>
    <mergeCell ref="T6:U6"/>
    <mergeCell ref="P8:P10"/>
    <mergeCell ref="Q8:Q10"/>
    <mergeCell ref="B9:C10"/>
    <mergeCell ref="D9:D10"/>
    <mergeCell ref="E9:E10"/>
    <mergeCell ref="M9:M14"/>
    <mergeCell ref="N9:N10"/>
    <mergeCell ref="T10:U10"/>
    <mergeCell ref="Q11:Q13"/>
    <mergeCell ref="B13:C14"/>
    <mergeCell ref="D13:D14"/>
    <mergeCell ref="E13:E14"/>
    <mergeCell ref="I13:J14"/>
    <mergeCell ref="N13:N14"/>
    <mergeCell ref="A2:F2"/>
    <mergeCell ref="I2:M2"/>
    <mergeCell ref="C3:F4"/>
    <mergeCell ref="I3:M4"/>
    <mergeCell ref="A6:F7"/>
    <mergeCell ref="I6:M7"/>
  </mergeCells>
  <dataValidations count="1">
    <dataValidation type="list" allowBlank="1" showInputMessage="1" showErrorMessage="1" sqref="Q8" xr:uid="{4E61C639-C4D7-4F0D-B196-D54BB145829D}">
      <formula1>"Yes,No"</formula1>
    </dataValidation>
  </dataValidations>
  <pageMargins left="0.11811023622047245" right="0.11811023622047245" top="0.35433070866141736" bottom="0.35433070866141736" header="0.31496062992125984" footer="0.31496062992125984"/>
  <pageSetup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Company_Year</vt:lpstr>
      <vt:lpstr>Results at a Glance</vt:lpstr>
      <vt:lpstr>Company_Year!Actions</vt:lpstr>
      <vt:lpstr>Company_Year!Factors</vt:lpstr>
      <vt:lpstr>Company_Year!Print_Area</vt:lpstr>
      <vt:lpstr>'Results at a Glance'!Print_Area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Nader Hajj Shehadeh</dc:creator>
  <cp:lastModifiedBy>Ahmad Diab</cp:lastModifiedBy>
  <dcterms:created xsi:type="dcterms:W3CDTF">2025-06-08T14:58:45Z</dcterms:created>
  <dcterms:modified xsi:type="dcterms:W3CDTF">2026-10-07T06:45:11Z</dcterms:modified>
</cp:coreProperties>
</file>